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80" yWindow="65461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<sst xmlns="http://schemas.openxmlformats.org/spreadsheetml/2006/main" count="166" uniqueCount="113">
  <si>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</si>
  <si>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</si>
  <si>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</si>
  <si>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</si>
  <si>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</si>
  <si>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</si>
  <si>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</si>
  <si>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</si>
  <si>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</si>
  <si>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</si>
  <si>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</si>
  <si>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</si>
  <si>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</si>
  <si>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</si>
  <si>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</si>
  <si>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</si>
  <si>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</si>
  <si>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</si>
  <si>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</si>
  <si>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</si>
  <si>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</si>
  <si>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</si>
  <si>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</si>
  <si>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</si>
  <si>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</si>
  <si>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</si>
  <si>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</si>
  <si>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</si>
  <si>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</si>
  <si>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</si>
  <si>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</si>
  <si>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</si>
  <si>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</si>
  <si>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</si>
  <si>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</si>
  <si>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</si>
  <si>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</si>
  <si>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</si>
  <si>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</si>
  <si>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</si>
  <si>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</si>
  <si>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</si>
  <si>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</si>
  <si>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</si>
  <si>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</si>
  <si>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</si>
  <si>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</si>
  <si>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</si>
  <si>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</si>
  <si>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</si>
  <si>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</si>
  <si>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</si>
  <si>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</si>
  <si>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</si>
  <si>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</si>
  <si>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</si>
  <si>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</si>
  <si>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</si>
  <si>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</si>
  <si>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</si>
  <si>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</si>
  <si>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</si>
  <si>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</si>
  <si>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</si>
  <si>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</si>
  <si>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</si>
  <si>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</si>
  <si>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</si>
  <si>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</si>
  <si>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</si>
  <si>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</si>
  <si>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</si>
  <si>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</si>
  <si>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</si>
  <si>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</si>
  <si>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</si>
  <si>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</si>
  <si>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</si>
  <si>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</si>
  <si>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</si>
  <si>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</si>
  <si>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</si>
  <si>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</si>
  <si>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</si>
  <si>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</si>
  <si>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</si>
  <si>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</si>
  <si>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</si>
  <si>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</si>
  <si>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</si>
  <si>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</si>
  <si>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</si>
  <si>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</si>
  <si>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</si>
  <si>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</si>
  <si>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</si>
  <si>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</si>
  <si>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</si>
  <si>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</si>
  <si>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</si>
  <si>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</si>
  <si>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</si>
  <si>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</si>
  <si>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</si>
  <si>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</si>
  <si>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</si>
  <si>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</si>
  <si>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</si>
  <si>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</si>
  <si>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</si>
  <si>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</si>
  <si>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</si>
  <si>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05.07.2018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</si>
</sst>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105862.19999999997</c:v>
                </c:pt>
                <c:pt idx="1">
                  <c:v>101123.30999999997</c:v>
                </c:pt>
                <c:pt idx="2">
                  <c:v>1271.9000000000003</c:v>
                </c:pt>
                <c:pt idx="3">
                  <c:v>3466.989999999999</c:v>
                </c:pt>
              </c:numCache>
            </c:numRef>
          </c:val>
          <c:shape val="box"/>
        </c:ser>
        <c:shape val="box"/>
        <c:axId val="32515784"/>
        <c:axId val="24206601"/>
      </c:bar3D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06601"/>
        <c:crosses val="autoZero"/>
        <c:auto val="1"/>
        <c:lblOffset val="100"/>
        <c:tickLblSkip val="1"/>
        <c:noMultiLvlLbl val="0"/>
      </c:catAx>
      <c:valAx>
        <c:axId val="24206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448157.4000000001</c:v>
                </c:pt>
                <c:pt idx="1">
                  <c:v>160548.69999999998</c:v>
                </c:pt>
                <c:pt idx="2">
                  <c:v>369731.80000000016</c:v>
                </c:pt>
                <c:pt idx="3">
                  <c:v>21.3</c:v>
                </c:pt>
                <c:pt idx="4">
                  <c:v>14993.699999999995</c:v>
                </c:pt>
                <c:pt idx="5">
                  <c:v>50852.499999999985</c:v>
                </c:pt>
                <c:pt idx="6">
                  <c:v>6467.5999999999985</c:v>
                </c:pt>
                <c:pt idx="7">
                  <c:v>6090.4999999999345</c:v>
                </c:pt>
              </c:numCache>
            </c:numRef>
          </c:val>
          <c:shape val="box"/>
        </c:ser>
        <c:shape val="box"/>
        <c:axId val="16532818"/>
        <c:axId val="14577635"/>
      </c:bar3D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2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204634.59999999998</c:v>
                </c:pt>
                <c:pt idx="1">
                  <c:v>132645.3</c:v>
                </c:pt>
                <c:pt idx="2">
                  <c:v>204634.59999999998</c:v>
                </c:pt>
              </c:numCache>
            </c:numRef>
          </c:val>
          <c:shape val="box"/>
        </c:ser>
        <c:shape val="box"/>
        <c:axId val="64089852"/>
        <c:axId val="39937757"/>
      </c:bar3D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11170</c:v>
                </c:pt>
                <c:pt idx="1">
                  <c:v>6119.000000000001</c:v>
                </c:pt>
                <c:pt idx="2">
                  <c:v>59.6</c:v>
                </c:pt>
                <c:pt idx="3">
                  <c:v>985.6999999999999</c:v>
                </c:pt>
                <c:pt idx="4">
                  <c:v>328.49999999999994</c:v>
                </c:pt>
                <c:pt idx="5">
                  <c:v>34.2</c:v>
                </c:pt>
                <c:pt idx="6">
                  <c:v>3642.9999999999995</c:v>
                </c:pt>
              </c:numCache>
            </c:numRef>
          </c:val>
          <c:shape val="box"/>
        </c:ser>
        <c:shape val="box"/>
        <c:axId val="23895494"/>
        <c:axId val="13732855"/>
      </c:bar3D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32855"/>
        <c:crosses val="autoZero"/>
        <c:auto val="1"/>
        <c:lblOffset val="100"/>
        <c:tickLblSkip val="1"/>
        <c:noMultiLvlLbl val="0"/>
      </c:catAx>
      <c:valAx>
        <c:axId val="13732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15388.199999999995</c:v>
                </c:pt>
                <c:pt idx="1">
                  <c:v>9373.6</c:v>
                </c:pt>
                <c:pt idx="3">
                  <c:v>444.6</c:v>
                </c:pt>
                <c:pt idx="4">
                  <c:v>495.10000000000014</c:v>
                </c:pt>
                <c:pt idx="5">
                  <c:v>660</c:v>
                </c:pt>
                <c:pt idx="6">
                  <c:v>4414.899999999994</c:v>
                </c:pt>
              </c:numCache>
            </c:numRef>
          </c:val>
          <c:shape val="box"/>
        </c:ser>
        <c:shape val="box"/>
        <c:axId val="56486832"/>
        <c:axId val="38619441"/>
      </c:bar3D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19441"/>
        <c:crosses val="autoZero"/>
        <c:auto val="1"/>
        <c:lblOffset val="100"/>
        <c:tickLblSkip val="2"/>
        <c:noMultiLvlLbl val="0"/>
      </c:catAx>
      <c:valAx>
        <c:axId val="38619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2088.4</c:v>
                </c:pt>
                <c:pt idx="1">
                  <c:v>1508.7000000000003</c:v>
                </c:pt>
                <c:pt idx="2">
                  <c:v>127</c:v>
                </c:pt>
                <c:pt idx="3">
                  <c:v>221.89999999999995</c:v>
                </c:pt>
                <c:pt idx="4">
                  <c:v>0</c:v>
                </c:pt>
                <c:pt idx="5">
                  <c:v>230.79999999999984</c:v>
                </c:pt>
              </c:numCache>
            </c:numRef>
          </c:val>
          <c:shape val="box"/>
        </c:ser>
        <c:shape val="box"/>
        <c:axId val="12030650"/>
        <c:axId val="41166987"/>
      </c:bar3D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0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19907.300000000003</c:v>
                </c:pt>
              </c:numCache>
            </c:numRef>
          </c:val>
          <c:shape val="box"/>
        </c:ser>
        <c:shape val="box"/>
        <c:axId val="34958564"/>
        <c:axId val="46191621"/>
      </c:bar3D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448157.4000000001</c:v>
                </c:pt>
                <c:pt idx="1">
                  <c:v>204634.59999999998</c:v>
                </c:pt>
                <c:pt idx="2">
                  <c:v>11170</c:v>
                </c:pt>
                <c:pt idx="3">
                  <c:v>15388.199999999995</c:v>
                </c:pt>
                <c:pt idx="4">
                  <c:v>2088.4</c:v>
                </c:pt>
                <c:pt idx="5">
                  <c:v>105862.19999999997</c:v>
                </c:pt>
                <c:pt idx="6">
                  <c:v>19907.300000000003</c:v>
                </c:pt>
              </c:numCache>
            </c:numRef>
          </c:val>
          <c:shape val="box"/>
        </c:ser>
        <c:shape val="box"/>
        <c:axId val="13071406"/>
        <c:axId val="50533791"/>
      </c:bar3D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494867.6100000001</c:v>
                </c:pt>
                <c:pt idx="1">
                  <c:v>61510.19999999999</c:v>
                </c:pt>
                <c:pt idx="2">
                  <c:v>15659.299999999996</c:v>
                </c:pt>
                <c:pt idx="3">
                  <c:v>13621.2</c:v>
                </c:pt>
                <c:pt idx="4">
                  <c:v>21.3</c:v>
                </c:pt>
                <c:pt idx="5">
                  <c:v>428430.68999999994</c:v>
                </c:pt>
              </c:numCache>
            </c:numRef>
          </c:val>
          <c:shape val="box"/>
        </c:ser>
        <c:shape val="box"/>
        <c:axId val="52150936"/>
        <c:axId val="66705241"/>
      </c:bar3D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zoomScale="80" zoomScaleNormal="80" zoomScalePageLayoutView="0" workbookViewId="0" topLeftCell="A1">
      <pane xSplit="1" ySplit="5" topLeftCell="G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5" sqref="K117:L125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109</v>
      </c>
      <c r="C3" s="167" t="s">
        <v>106</v>
      </c>
      <c r="D3" s="167" t="s">
        <v>22</v>
      </c>
      <c r="E3" s="167" t="s">
        <v>21</v>
      </c>
      <c r="F3" s="167" t="s">
        <v>110</v>
      </c>
      <c r="G3" s="167" t="s">
        <v>107</v>
      </c>
      <c r="H3" s="167" t="s">
        <v>111</v>
      </c>
      <c r="I3" s="167" t="s">
        <v>108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64"/>
    </row>
    <row r="6" spans="1:11" ht="18.75" thickBot="1">
      <c r="A6" s="20" t="s">
        <v>26</v>
      </c>
      <c r="B6" s="37">
        <v>517029.521</v>
      </c>
      <c r="C6" s="38">
        <f>826775+13431.5+510-13431.5+16-2334+20.8</f>
        <v>824987.8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</f>
        <v>448157.4000000001</v>
      </c>
      <c r="E6" s="3">
        <f>D6/D154*100</f>
        <v>44.19217515096731</v>
      </c>
      <c r="F6" s="3">
        <f>D6/B6*100</f>
        <v>86.67926719797497</v>
      </c>
      <c r="G6" s="3">
        <f aca="true" t="shared" si="0" ref="G6:G43">D6/C6*100</f>
        <v>54.32291241155325</v>
      </c>
      <c r="H6" s="39">
        <f>B6-D6</f>
        <v>68872.12099999993</v>
      </c>
      <c r="I6" s="39">
        <f aca="true" t="shared" si="1" ref="I6:I43">C6-D6</f>
        <v>376830.39999999997</v>
      </c>
      <c r="J6" s="164"/>
      <c r="K6" s="151"/>
    </row>
    <row r="7" spans="1:12" s="92" customFormat="1" ht="18.75">
      <c r="A7" s="138" t="s">
        <v>81</v>
      </c>
      <c r="B7" s="139">
        <v>173829.9</v>
      </c>
      <c r="C7" s="140">
        <v>262517.6</v>
      </c>
      <c r="D7" s="141">
        <f>8282.7+10875.2+9132.6+9963.6+4.3+9215.1+9968.6+9459.9+11450.4+9572.3+23759.4-0.1+3644+36528.9+8511.9+179.9</f>
        <v>160548.69999999998</v>
      </c>
      <c r="E7" s="142">
        <f>D7/D6*100</f>
        <v>35.82417695211547</v>
      </c>
      <c r="F7" s="142">
        <f>D7/B7*100</f>
        <v>92.35965734318434</v>
      </c>
      <c r="G7" s="142">
        <f>D7/C7*100</f>
        <v>61.1573090718489</v>
      </c>
      <c r="H7" s="141">
        <f>B7-D7</f>
        <v>13281.200000000012</v>
      </c>
      <c r="I7" s="141">
        <f t="shared" si="1"/>
        <v>101968.9</v>
      </c>
      <c r="J7" s="165"/>
      <c r="K7" s="151"/>
      <c r="L7" s="137"/>
    </row>
    <row r="8" spans="1:12" s="91" customFormat="1" ht="18">
      <c r="A8" s="100" t="s">
        <v>3</v>
      </c>
      <c r="B8" s="124">
        <v>414525.98</v>
      </c>
      <c r="C8" s="125">
        <f>649221.9+8415.5-2000</f>
        <v>655637.4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</f>
        <v>369731.80000000016</v>
      </c>
      <c r="E8" s="104">
        <f>D8/D6*100</f>
        <v>82.50043399930473</v>
      </c>
      <c r="F8" s="104">
        <f>D8/B8*100</f>
        <v>89.19387875278653</v>
      </c>
      <c r="G8" s="104">
        <f t="shared" si="0"/>
        <v>56.392725613273456</v>
      </c>
      <c r="H8" s="102">
        <f>B8-D8</f>
        <v>44794.17999999982</v>
      </c>
      <c r="I8" s="102">
        <f t="shared" si="1"/>
        <v>285905.59999999986</v>
      </c>
      <c r="J8" s="164"/>
      <c r="K8" s="151"/>
      <c r="L8" s="137"/>
    </row>
    <row r="9" spans="1:12" s="91" customFormat="1" ht="18">
      <c r="A9" s="100" t="s">
        <v>2</v>
      </c>
      <c r="B9" s="124">
        <v>30.8</v>
      </c>
      <c r="C9" s="125">
        <v>97.7</v>
      </c>
      <c r="D9" s="102">
        <f>3.4+5.4+0.8+4.1+3.6+0.3+0.3+3.4</f>
        <v>21.3</v>
      </c>
      <c r="E9" s="126">
        <f>D9/D6*100</f>
        <v>0.004752794442309777</v>
      </c>
      <c r="F9" s="104">
        <f>D9/B9*100</f>
        <v>69.15584415584416</v>
      </c>
      <c r="G9" s="104">
        <f t="shared" si="0"/>
        <v>21.8014329580348</v>
      </c>
      <c r="H9" s="102">
        <f aca="true" t="shared" si="2" ref="H9:H43">B9-D9</f>
        <v>9.5</v>
      </c>
      <c r="I9" s="102">
        <f t="shared" si="1"/>
        <v>76.4</v>
      </c>
      <c r="J9" s="164"/>
      <c r="K9" s="151"/>
      <c r="L9" s="137"/>
    </row>
    <row r="10" spans="1:12" s="91" customFormat="1" ht="18">
      <c r="A10" s="100" t="s">
        <v>1</v>
      </c>
      <c r="B10" s="124">
        <v>24732.6</v>
      </c>
      <c r="C10" s="125">
        <f>52816.3-8415.5-19.2</f>
        <v>44381.600000000006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</f>
        <v>14993.699999999995</v>
      </c>
      <c r="E10" s="104">
        <f>D10/D6*100</f>
        <v>3.345632583552116</v>
      </c>
      <c r="F10" s="104">
        <f aca="true" t="shared" si="3" ref="F10:F41">D10/B10*100</f>
        <v>60.62322602556948</v>
      </c>
      <c r="G10" s="104">
        <f t="shared" si="0"/>
        <v>33.783595003334696</v>
      </c>
      <c r="H10" s="102">
        <f t="shared" si="2"/>
        <v>9738.900000000003</v>
      </c>
      <c r="I10" s="102">
        <f t="shared" si="1"/>
        <v>29387.90000000001</v>
      </c>
      <c r="J10" s="164"/>
      <c r="K10" s="151"/>
      <c r="L10" s="137"/>
    </row>
    <row r="11" spans="1:12" s="91" customFormat="1" ht="18">
      <c r="A11" s="100" t="s">
        <v>0</v>
      </c>
      <c r="B11" s="124">
        <v>52987.9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</f>
        <v>50852.499999999985</v>
      </c>
      <c r="E11" s="104">
        <f>D11/D6*100</f>
        <v>11.347017811152952</v>
      </c>
      <c r="F11" s="104">
        <f t="shared" si="3"/>
        <v>95.97002334495231</v>
      </c>
      <c r="G11" s="104">
        <f t="shared" si="0"/>
        <v>57.67394332013191</v>
      </c>
      <c r="H11" s="102">
        <f t="shared" si="2"/>
        <v>2135.400000000016</v>
      </c>
      <c r="I11" s="102">
        <f t="shared" si="1"/>
        <v>37319.90000000001</v>
      </c>
      <c r="J11" s="164"/>
      <c r="K11" s="151"/>
      <c r="L11" s="137"/>
    </row>
    <row r="12" spans="1:12" s="91" customFormat="1" ht="18">
      <c r="A12" s="100" t="s">
        <v>14</v>
      </c>
      <c r="B12" s="124">
        <v>7508.809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</f>
        <v>6467.5999999999985</v>
      </c>
      <c r="E12" s="104">
        <f>D12/D6*100</f>
        <v>1.4431536777034135</v>
      </c>
      <c r="F12" s="104">
        <f t="shared" si="3"/>
        <v>86.13349999980021</v>
      </c>
      <c r="G12" s="104">
        <f t="shared" si="0"/>
        <v>50.77406186214475</v>
      </c>
      <c r="H12" s="102">
        <f>B12-D12</f>
        <v>1041.2090000000017</v>
      </c>
      <c r="I12" s="102">
        <f t="shared" si="1"/>
        <v>6270.4000000000015</v>
      </c>
      <c r="J12" s="164"/>
      <c r="K12" s="151"/>
      <c r="L12" s="137"/>
    </row>
    <row r="13" spans="1:12" s="91" customFormat="1" ht="18.75" thickBot="1">
      <c r="A13" s="100" t="s">
        <v>27</v>
      </c>
      <c r="B13" s="125">
        <f>B6-B8-B9-B10-B11-B12</f>
        <v>17243.43200000003</v>
      </c>
      <c r="C13" s="125">
        <f>C6-C8-C9-C10-C11-C12</f>
        <v>23960.70000000001</v>
      </c>
      <c r="D13" s="125">
        <f>D6-D8-D9-D10-D11-D12</f>
        <v>6090.4999999999345</v>
      </c>
      <c r="E13" s="104">
        <f>D13/D6*100</f>
        <v>1.359009133844478</v>
      </c>
      <c r="F13" s="104">
        <f t="shared" si="3"/>
        <v>35.320694859352386</v>
      </c>
      <c r="G13" s="104">
        <f t="shared" si="0"/>
        <v>25.418706465169766</v>
      </c>
      <c r="H13" s="102">
        <f t="shared" si="2"/>
        <v>11152.932000000095</v>
      </c>
      <c r="I13" s="102">
        <f t="shared" si="1"/>
        <v>17870.200000000077</v>
      </c>
      <c r="J13" s="164"/>
      <c r="K13" s="151"/>
      <c r="L13" s="137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165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165"/>
      <c r="K15" s="11"/>
      <c r="L15" s="11"/>
      <c r="M15" s="11"/>
    </row>
    <row r="16" spans="1:13" s="32" customFormat="1" ht="19.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165"/>
      <c r="K16" s="11"/>
      <c r="L16" s="11"/>
      <c r="M16" s="11"/>
    </row>
    <row r="17" spans="1:13" s="32" customFormat="1" ht="19.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165"/>
      <c r="K17" s="11"/>
      <c r="L17" s="11"/>
      <c r="M17" s="11"/>
    </row>
    <row r="18" spans="1:11" ht="18.75" thickBot="1">
      <c r="A18" s="20" t="s">
        <v>19</v>
      </c>
      <c r="B18" s="37">
        <v>247160.574</v>
      </c>
      <c r="C18" s="38">
        <f>424151.5+750.3+185.6</f>
        <v>425087.39999999997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</f>
        <v>204634.59999999998</v>
      </c>
      <c r="E18" s="3">
        <f>D18/D154*100</f>
        <v>20.178732037333607</v>
      </c>
      <c r="F18" s="3">
        <f>D18/B18*100</f>
        <v>82.79419192480107</v>
      </c>
      <c r="G18" s="3">
        <f t="shared" si="0"/>
        <v>48.13941791735064</v>
      </c>
      <c r="H18" s="39">
        <f>B18-D18</f>
        <v>42525.97400000002</v>
      </c>
      <c r="I18" s="39">
        <f t="shared" si="1"/>
        <v>220452.8</v>
      </c>
      <c r="J18" s="164"/>
      <c r="K18" s="151"/>
    </row>
    <row r="19" spans="1:13" s="92" customFormat="1" ht="18.75">
      <c r="A19" s="138" t="s">
        <v>82</v>
      </c>
      <c r="B19" s="139">
        <v>148647.904</v>
      </c>
      <c r="C19" s="140">
        <f>226186+750.3+185.6</f>
        <v>227121.9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</f>
        <v>132645.3</v>
      </c>
      <c r="E19" s="142">
        <f>D19/D18*100</f>
        <v>64.8205630914811</v>
      </c>
      <c r="F19" s="142">
        <f t="shared" si="3"/>
        <v>89.2345579255527</v>
      </c>
      <c r="G19" s="142">
        <f t="shared" si="0"/>
        <v>58.40269036143145</v>
      </c>
      <c r="H19" s="141">
        <f t="shared" si="2"/>
        <v>16002.604000000021</v>
      </c>
      <c r="I19" s="141">
        <f t="shared" si="1"/>
        <v>94476.6</v>
      </c>
      <c r="K19" s="151"/>
      <c r="L19" s="91"/>
      <c r="M19" s="91"/>
    </row>
    <row r="20" spans="1:11" s="91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K20" s="151">
        <f>C20-B20</f>
        <v>0</v>
      </c>
    </row>
    <row r="21" spans="1:11" s="91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K21" s="151">
        <f>C21-B21</f>
        <v>0</v>
      </c>
    </row>
    <row r="22" spans="1:11" s="91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K22" s="151">
        <f>C22-B22</f>
        <v>0</v>
      </c>
    </row>
    <row r="23" spans="1:11" s="91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K23" s="151">
        <f>C23-B23</f>
        <v>0</v>
      </c>
    </row>
    <row r="24" spans="1:11" s="91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K24" s="151">
        <f>C24-B24</f>
        <v>0</v>
      </c>
    </row>
    <row r="25" spans="1:11" s="91" customFormat="1" ht="18.75" thickBot="1">
      <c r="A25" s="100" t="s">
        <v>27</v>
      </c>
      <c r="B25" s="125">
        <f>B18</f>
        <v>247160.574</v>
      </c>
      <c r="C25" s="125">
        <f>C18</f>
        <v>425087.39999999997</v>
      </c>
      <c r="D25" s="125">
        <f>D18</f>
        <v>204634.59999999998</v>
      </c>
      <c r="E25" s="104">
        <f>D25/D18*100</f>
        <v>100</v>
      </c>
      <c r="F25" s="104">
        <f t="shared" si="3"/>
        <v>82.79419192480107</v>
      </c>
      <c r="G25" s="104">
        <f t="shared" si="0"/>
        <v>48.13941791735064</v>
      </c>
      <c r="H25" s="102">
        <f t="shared" si="2"/>
        <v>42525.97400000002</v>
      </c>
      <c r="I25" s="102">
        <f t="shared" si="1"/>
        <v>220452.8</v>
      </c>
      <c r="K25" s="151"/>
    </row>
    <row r="26" spans="1:11" ht="57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1"/>
      <c r="K26" s="151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1"/>
      <c r="K27" s="151">
        <f t="shared" si="4"/>
        <v>0</v>
      </c>
    </row>
    <row r="28" spans="1:11" ht="19.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1"/>
      <c r="K28" s="151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1"/>
      <c r="K29" s="151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1"/>
      <c r="K30" s="151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1"/>
      <c r="K31" s="151">
        <f t="shared" si="4"/>
        <v>0</v>
      </c>
    </row>
    <row r="32" spans="1:11" ht="19.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1"/>
      <c r="K32" s="151">
        <f t="shared" si="4"/>
        <v>0</v>
      </c>
    </row>
    <row r="33" spans="1:11" ht="18.75" thickBot="1">
      <c r="A33" s="20" t="s">
        <v>17</v>
      </c>
      <c r="B33" s="37">
        <v>13952.794800000001</v>
      </c>
      <c r="C33" s="38">
        <f>24805.1-17.2</f>
        <v>24787.899999999998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</f>
        <v>11170</v>
      </c>
      <c r="E33" s="3">
        <f>D33/D154*100</f>
        <v>1.101458095830404</v>
      </c>
      <c r="F33" s="3">
        <f>D33/B33*100</f>
        <v>80.05564591260239</v>
      </c>
      <c r="G33" s="3">
        <f t="shared" si="0"/>
        <v>45.06230862638627</v>
      </c>
      <c r="H33" s="39">
        <f t="shared" si="2"/>
        <v>2782.7948000000015</v>
      </c>
      <c r="I33" s="39">
        <f t="shared" si="1"/>
        <v>13617.899999999998</v>
      </c>
      <c r="J33" s="163"/>
      <c r="K33" s="151"/>
    </row>
    <row r="34" spans="1:11" s="91" customFormat="1" ht="18">
      <c r="A34" s="100" t="s">
        <v>3</v>
      </c>
      <c r="B34" s="124">
        <v>7568.326800000001</v>
      </c>
      <c r="C34" s="125">
        <v>12906.6</v>
      </c>
      <c r="D34" s="102">
        <f>364.6+548.1+389.3+522.2+63+395+556.7+63+391.3+512.8+63+394.6+664.3+89.8+0.3+456.7+632.3+12</f>
        <v>6119.000000000001</v>
      </c>
      <c r="E34" s="104">
        <f>D34/D33*100</f>
        <v>54.78066248880932</v>
      </c>
      <c r="F34" s="104">
        <f t="shared" si="3"/>
        <v>80.85010282589806</v>
      </c>
      <c r="G34" s="104">
        <f t="shared" si="0"/>
        <v>47.40985232361738</v>
      </c>
      <c r="H34" s="102">
        <f t="shared" si="2"/>
        <v>1449.3267999999998</v>
      </c>
      <c r="I34" s="102">
        <f t="shared" si="1"/>
        <v>6787.599999999999</v>
      </c>
      <c r="K34" s="151"/>
    </row>
    <row r="35" spans="1:11" s="91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0.5335720680393913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K35" s="151"/>
    </row>
    <row r="36" spans="1:11" s="91" customFormat="1" ht="18">
      <c r="A36" s="100" t="s">
        <v>0</v>
      </c>
      <c r="B36" s="124">
        <v>1035.148</v>
      </c>
      <c r="C36" s="125">
        <v>1783</v>
      </c>
      <c r="D36" s="102">
        <f>0.3+11.3+141.7+12.6+0.9+12.9+1.3+0.5+169.4+1.1+0.1+0.4+11.3+166.1+3.8+5.1+2.9+0.2+0.5+11.9+319.9+44.3+12.2+0.9-0.2+8.4+29.5+8.6+0.2+7.6</f>
        <v>985.6999999999999</v>
      </c>
      <c r="E36" s="104">
        <f>D36/D33*100</f>
        <v>8.824529991047447</v>
      </c>
      <c r="F36" s="104">
        <f t="shared" si="3"/>
        <v>95.2230985327702</v>
      </c>
      <c r="G36" s="104">
        <f t="shared" si="0"/>
        <v>55.283230510375766</v>
      </c>
      <c r="H36" s="102">
        <f t="shared" si="2"/>
        <v>49.44799999999998</v>
      </c>
      <c r="I36" s="102">
        <f t="shared" si="1"/>
        <v>797.3000000000001</v>
      </c>
      <c r="K36" s="151"/>
    </row>
    <row r="37" spans="1:12" s="92" customFormat="1" ht="18.75">
      <c r="A37" s="115" t="s">
        <v>7</v>
      </c>
      <c r="B37" s="135">
        <v>330.7</v>
      </c>
      <c r="C37" s="136">
        <v>1008</v>
      </c>
      <c r="D37" s="106">
        <f>44.8+25.1+1.6+0.5+2.7+1+6.3+8.5+2.5+36.6+1.5+4.5+23.6+4.1+106.1+32.6+9.7+2.5+4.3+1.9+2.2+5.9</f>
        <v>328.49999999999994</v>
      </c>
      <c r="E37" s="110">
        <f>D37/D33*100</f>
        <v>2.940913160250671</v>
      </c>
      <c r="F37" s="110">
        <f t="shared" si="3"/>
        <v>99.33474448140306</v>
      </c>
      <c r="G37" s="110">
        <f t="shared" si="0"/>
        <v>32.58928571428571</v>
      </c>
      <c r="H37" s="106">
        <f t="shared" si="2"/>
        <v>2.2000000000000455</v>
      </c>
      <c r="I37" s="106">
        <f t="shared" si="1"/>
        <v>679.5</v>
      </c>
      <c r="K37" s="151"/>
      <c r="L37" s="137"/>
    </row>
    <row r="38" spans="1:11" s="91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0.30617726051924804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K38" s="151"/>
    </row>
    <row r="39" spans="1:11" s="91" customFormat="1" ht="18.75" thickBot="1">
      <c r="A39" s="100" t="s">
        <v>27</v>
      </c>
      <c r="B39" s="124">
        <f>B33-B34-B36-B37-B35-B38</f>
        <v>4924.774000000001</v>
      </c>
      <c r="C39" s="124">
        <f>C33-C34-C36-C37-C35-C38</f>
        <v>8919.699999999997</v>
      </c>
      <c r="D39" s="124">
        <f>D33-D34-D36-D37-D35-D38</f>
        <v>3642.9999999999995</v>
      </c>
      <c r="E39" s="104">
        <f>D39/D33*100</f>
        <v>32.614145031333926</v>
      </c>
      <c r="F39" s="104">
        <f t="shared" si="3"/>
        <v>73.97293764140241</v>
      </c>
      <c r="G39" s="104">
        <f t="shared" si="0"/>
        <v>40.84218079083378</v>
      </c>
      <c r="H39" s="102">
        <f>B39-D39</f>
        <v>1281.7740000000017</v>
      </c>
      <c r="I39" s="102">
        <f t="shared" si="1"/>
        <v>5276.699999999997</v>
      </c>
      <c r="K39" s="151"/>
    </row>
    <row r="40" spans="1:11" ht="19.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1">
        <f>C40-B40</f>
        <v>0</v>
      </c>
    </row>
    <row r="41" spans="1:11" ht="19.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1">
        <f>C41-B41</f>
        <v>0</v>
      </c>
    </row>
    <row r="42" spans="1:11" ht="19.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1">
        <f>C42-B42</f>
        <v>0</v>
      </c>
    </row>
    <row r="43" spans="1:11" ht="19.5" thickBot="1">
      <c r="A43" s="12" t="s">
        <v>16</v>
      </c>
      <c r="B43" s="74">
        <v>1236.413</v>
      </c>
      <c r="C43" s="38">
        <f>1126.9+467</f>
        <v>1593.9</v>
      </c>
      <c r="D43" s="39">
        <f>63.9+1.1+0.6+70.8+0.5+48+6.7+2+13.7+10.4+20.2+0.7+37.4+27+181.7+0.2+2.1+7.5+10</f>
        <v>504.49999999999994</v>
      </c>
      <c r="E43" s="3">
        <f>D43/D154*100</f>
        <v>0.049748040227971246</v>
      </c>
      <c r="F43" s="3">
        <f>D43/B43*100</f>
        <v>40.803517918365465</v>
      </c>
      <c r="G43" s="3">
        <f t="shared" si="0"/>
        <v>31.651922956270777</v>
      </c>
      <c r="H43" s="39">
        <f t="shared" si="2"/>
        <v>731.913</v>
      </c>
      <c r="I43" s="39">
        <f t="shared" si="1"/>
        <v>1089.4</v>
      </c>
      <c r="J43" s="91"/>
      <c r="K43" s="151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1"/>
      <c r="K44" s="151"/>
    </row>
    <row r="45" spans="1:11" ht="18.75" thickBot="1">
      <c r="A45" s="20" t="s">
        <v>44</v>
      </c>
      <c r="B45" s="37">
        <v>7932.135</v>
      </c>
      <c r="C45" s="38">
        <v>13576.3</v>
      </c>
      <c r="D45" s="39">
        <f>237.1+562.8+52.3+349.2+679.9+375.9+891+78.3+327.4+13.5+670.2+386.5+179.9+781.7-0.1+25.5+366.5+16.5+692.2</f>
        <v>6686.299999999999</v>
      </c>
      <c r="E45" s="3">
        <f>D45/D154*100</f>
        <v>0.6593267024306921</v>
      </c>
      <c r="F45" s="3">
        <f>D45/B45*100</f>
        <v>84.29382505466685</v>
      </c>
      <c r="G45" s="3">
        <f aca="true" t="shared" si="5" ref="G45:G76">D45/C45*100</f>
        <v>49.249795599684745</v>
      </c>
      <c r="H45" s="39">
        <f>B45-D45</f>
        <v>1245.835000000001</v>
      </c>
      <c r="I45" s="39">
        <f aca="true" t="shared" si="6" ref="I45:I77">C45-D45</f>
        <v>6890</v>
      </c>
      <c r="J45" s="91"/>
      <c r="K45" s="151"/>
    </row>
    <row r="46" spans="1:11" s="91" customFormat="1" ht="18">
      <c r="A46" s="100" t="s">
        <v>3</v>
      </c>
      <c r="B46" s="124">
        <v>7114.54</v>
      </c>
      <c r="C46" s="125">
        <v>12256.4</v>
      </c>
      <c r="D46" s="102">
        <f>237.1+551.8+334.1+652.5+314.7+746.1+319.2+661.7+342.8+781.7+0.2-0.1+366.5+692.2</f>
        <v>6000.499999999999</v>
      </c>
      <c r="E46" s="104">
        <f>D46/D45*100</f>
        <v>89.74320625757144</v>
      </c>
      <c r="F46" s="104">
        <f aca="true" t="shared" si="7" ref="F46:F74">D46/B46*100</f>
        <v>84.34136289907708</v>
      </c>
      <c r="G46" s="104">
        <f t="shared" si="5"/>
        <v>48.958095362422895</v>
      </c>
      <c r="H46" s="102">
        <f aca="true" t="shared" si="8" ref="H46:H74">B46-D46</f>
        <v>1114.0400000000009</v>
      </c>
      <c r="I46" s="102">
        <f t="shared" si="6"/>
        <v>6255.900000000001</v>
      </c>
      <c r="K46" s="151"/>
    </row>
    <row r="47" spans="1:11" s="91" customFormat="1" ht="18">
      <c r="A47" s="100" t="s">
        <v>2</v>
      </c>
      <c r="B47" s="124">
        <v>0.758</v>
      </c>
      <c r="C47" s="125">
        <v>1.5</v>
      </c>
      <c r="D47" s="102"/>
      <c r="E47" s="104">
        <f>D47/D45*100</f>
        <v>0</v>
      </c>
      <c r="F47" s="104">
        <f t="shared" si="7"/>
        <v>0</v>
      </c>
      <c r="G47" s="104">
        <f t="shared" si="5"/>
        <v>0</v>
      </c>
      <c r="H47" s="102">
        <f t="shared" si="8"/>
        <v>0.758</v>
      </c>
      <c r="I47" s="102">
        <f t="shared" si="6"/>
        <v>1.5</v>
      </c>
      <c r="K47" s="151"/>
    </row>
    <row r="48" spans="1:11" s="91" customFormat="1" ht="18">
      <c r="A48" s="100" t="s">
        <v>1</v>
      </c>
      <c r="B48" s="124">
        <v>58.56</v>
      </c>
      <c r="C48" s="125">
        <v>98.9</v>
      </c>
      <c r="D48" s="102">
        <f>5.7+6.1+6.5+7.7+8.4</f>
        <v>34.4</v>
      </c>
      <c r="E48" s="104">
        <f>D48/D45*100</f>
        <v>0.5144848421398981</v>
      </c>
      <c r="F48" s="104">
        <f t="shared" si="7"/>
        <v>58.7431693989071</v>
      </c>
      <c r="G48" s="104">
        <f t="shared" si="5"/>
        <v>34.78260869565217</v>
      </c>
      <c r="H48" s="102">
        <f t="shared" si="8"/>
        <v>24.160000000000004</v>
      </c>
      <c r="I48" s="102">
        <f t="shared" si="6"/>
        <v>64.5</v>
      </c>
      <c r="K48" s="151"/>
    </row>
    <row r="49" spans="1:11" s="91" customFormat="1" ht="18">
      <c r="A49" s="100" t="s">
        <v>0</v>
      </c>
      <c r="B49" s="124">
        <v>568.725</v>
      </c>
      <c r="C49" s="125">
        <v>879.8</v>
      </c>
      <c r="D49" s="102">
        <f>7.3+51.9+12.7-0.1+54.5+131.2+49.5+2.4+7.9+11.2+178.3+0.4+4.1+0.1</f>
        <v>511.4</v>
      </c>
      <c r="E49" s="104">
        <f>D49/D45*100</f>
        <v>7.648475240416973</v>
      </c>
      <c r="F49" s="104">
        <f t="shared" si="7"/>
        <v>89.92043606312365</v>
      </c>
      <c r="G49" s="104">
        <f t="shared" si="5"/>
        <v>58.126847010684244</v>
      </c>
      <c r="H49" s="102">
        <f t="shared" si="8"/>
        <v>57.325000000000045</v>
      </c>
      <c r="I49" s="102">
        <f t="shared" si="6"/>
        <v>368.4</v>
      </c>
      <c r="K49" s="151"/>
    </row>
    <row r="50" spans="1:11" s="91" customFormat="1" ht="18.75" thickBot="1">
      <c r="A50" s="100" t="s">
        <v>27</v>
      </c>
      <c r="B50" s="125">
        <f>B45-B46-B49-B48-B47</f>
        <v>189.55200000000022</v>
      </c>
      <c r="C50" s="125">
        <f>C45-C46-C49-C48-C47</f>
        <v>339.6999999999997</v>
      </c>
      <c r="D50" s="125">
        <f>D45-D46-D49-D48-D47</f>
        <v>140.0000000000002</v>
      </c>
      <c r="E50" s="104">
        <f>D50/D45*100</f>
        <v>2.093833659871681</v>
      </c>
      <c r="F50" s="104">
        <f t="shared" si="7"/>
        <v>73.85836076643878</v>
      </c>
      <c r="G50" s="104">
        <f t="shared" si="5"/>
        <v>41.21283485428329</v>
      </c>
      <c r="H50" s="102">
        <f t="shared" si="8"/>
        <v>49.55200000000002</v>
      </c>
      <c r="I50" s="102">
        <f t="shared" si="6"/>
        <v>199.6999999999995</v>
      </c>
      <c r="K50" s="151"/>
    </row>
    <row r="51" spans="1:11" ht="18.75" thickBot="1">
      <c r="A51" s="20" t="s">
        <v>4</v>
      </c>
      <c r="B51" s="37">
        <v>21543.159</v>
      </c>
      <c r="C51" s="38">
        <f>37135.4+450-426</f>
        <v>37159.4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</f>
        <v>15388.199999999995</v>
      </c>
      <c r="E51" s="3">
        <f>D51/D154*100</f>
        <v>1.5174089051260002</v>
      </c>
      <c r="F51" s="3">
        <f>D51/B51*100</f>
        <v>71.42963573726581</v>
      </c>
      <c r="G51" s="3">
        <f t="shared" si="5"/>
        <v>41.41132526359412</v>
      </c>
      <c r="H51" s="39">
        <f>B51-D51</f>
        <v>6154.959000000004</v>
      </c>
      <c r="I51" s="39">
        <f t="shared" si="6"/>
        <v>21771.200000000004</v>
      </c>
      <c r="J51" s="91"/>
      <c r="K51" s="151"/>
    </row>
    <row r="52" spans="1:11" s="91" customFormat="1" ht="18">
      <c r="A52" s="100" t="s">
        <v>3</v>
      </c>
      <c r="B52" s="124">
        <v>12274.766</v>
      </c>
      <c r="C52" s="125">
        <v>20097.4</v>
      </c>
      <c r="D52" s="102">
        <f>632.9+34.3+767.3+737.6+710.6+649.6+792.4+1.6+643.1+825.6+650.1+947+1196.1+785.4</f>
        <v>9373.6</v>
      </c>
      <c r="E52" s="104">
        <f>D52/D51*100</f>
        <v>60.9142069897714</v>
      </c>
      <c r="F52" s="104">
        <f t="shared" si="7"/>
        <v>76.36479587472381</v>
      </c>
      <c r="G52" s="104">
        <f t="shared" si="5"/>
        <v>46.64085901658921</v>
      </c>
      <c r="H52" s="102">
        <f t="shared" si="8"/>
        <v>2901.1659999999993</v>
      </c>
      <c r="I52" s="102">
        <f t="shared" si="6"/>
        <v>10723.800000000001</v>
      </c>
      <c r="K52" s="151"/>
    </row>
    <row r="53" spans="1:11" s="91" customFormat="1" ht="18">
      <c r="A53" s="100" t="s">
        <v>2</v>
      </c>
      <c r="B53" s="124">
        <v>0</v>
      </c>
      <c r="C53" s="125">
        <v>13.9</v>
      </c>
      <c r="D53" s="102"/>
      <c r="E53" s="104">
        <f>D53/D51*100</f>
        <v>0</v>
      </c>
      <c r="F53" s="104" t="e">
        <f>D53/B53*100</f>
        <v>#DIV/0!</v>
      </c>
      <c r="G53" s="104">
        <f t="shared" si="5"/>
        <v>0</v>
      </c>
      <c r="H53" s="102">
        <f t="shared" si="8"/>
        <v>0</v>
      </c>
      <c r="I53" s="102">
        <f t="shared" si="6"/>
        <v>13.9</v>
      </c>
      <c r="K53" s="151"/>
    </row>
    <row r="54" spans="1:11" s="91" customFormat="1" ht="18">
      <c r="A54" s="100" t="s">
        <v>1</v>
      </c>
      <c r="B54" s="124">
        <v>548.22</v>
      </c>
      <c r="C54" s="125">
        <v>993.6</v>
      </c>
      <c r="D54" s="102">
        <f>0.2+4.2+9+4.7+9.6+6.3+43.2+2.7+18.4+3.8+23.8+5.3+12.2+43.2+26.7+3.8+22.4+0.4+59.7+30.3+3.3+19.2+7+2.9+21+4.4-0.4+4.8+2.2+3.6+32.5+6.4+7.8</f>
        <v>444.6</v>
      </c>
      <c r="E54" s="104">
        <f>D54/D51*100</f>
        <v>2.8892268101532355</v>
      </c>
      <c r="F54" s="104">
        <f t="shared" si="7"/>
        <v>81.09882893728795</v>
      </c>
      <c r="G54" s="104">
        <f t="shared" si="5"/>
        <v>44.7463768115942</v>
      </c>
      <c r="H54" s="102">
        <f t="shared" si="8"/>
        <v>103.62</v>
      </c>
      <c r="I54" s="102">
        <f t="shared" si="6"/>
        <v>549</v>
      </c>
      <c r="K54" s="151"/>
    </row>
    <row r="55" spans="1:11" s="91" customFormat="1" ht="18">
      <c r="A55" s="100" t="s">
        <v>0</v>
      </c>
      <c r="B55" s="124">
        <v>637.525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</f>
        <v>495.10000000000014</v>
      </c>
      <c r="E55" s="104">
        <f>D55/D51*100</f>
        <v>3.217400345719449</v>
      </c>
      <c r="F55" s="104">
        <f t="shared" si="7"/>
        <v>77.65969961962278</v>
      </c>
      <c r="G55" s="104">
        <f t="shared" si="5"/>
        <v>40.58529387654727</v>
      </c>
      <c r="H55" s="102">
        <f t="shared" si="8"/>
        <v>142.42499999999984</v>
      </c>
      <c r="I55" s="102">
        <f t="shared" si="6"/>
        <v>724.8</v>
      </c>
      <c r="K55" s="151"/>
    </row>
    <row r="56" spans="1:11" s="91" customFormat="1" ht="18">
      <c r="A56" s="100" t="s">
        <v>14</v>
      </c>
      <c r="B56" s="124">
        <v>770</v>
      </c>
      <c r="C56" s="125">
        <v>1320</v>
      </c>
      <c r="D56" s="125">
        <f>110+110+110+110+110+110</f>
        <v>660</v>
      </c>
      <c r="E56" s="104">
        <f>D56/D51*100</f>
        <v>4.289000662845558</v>
      </c>
      <c r="F56" s="104">
        <f>D56/B56*100</f>
        <v>85.71428571428571</v>
      </c>
      <c r="G56" s="104">
        <f>D56/C56*100</f>
        <v>50</v>
      </c>
      <c r="H56" s="102">
        <f t="shared" si="8"/>
        <v>110</v>
      </c>
      <c r="I56" s="102">
        <f t="shared" si="6"/>
        <v>660</v>
      </c>
      <c r="K56" s="151"/>
    </row>
    <row r="57" spans="1:11" s="91" customFormat="1" ht="18.75" thickBot="1">
      <c r="A57" s="100" t="s">
        <v>27</v>
      </c>
      <c r="B57" s="125">
        <f>B51-B52-B55-B54-B53-B56</f>
        <v>7312.648</v>
      </c>
      <c r="C57" s="125">
        <f>C51-C52-C55-C54-C53-C56</f>
        <v>13514.6</v>
      </c>
      <c r="D57" s="125">
        <f>D51-D52-D55-D54-D53-D56</f>
        <v>4414.899999999994</v>
      </c>
      <c r="E57" s="104">
        <f>D57/D51*100</f>
        <v>28.690165191510346</v>
      </c>
      <c r="F57" s="104">
        <f t="shared" si="7"/>
        <v>60.37347893676811</v>
      </c>
      <c r="G57" s="104">
        <f t="shared" si="5"/>
        <v>32.667633522264765</v>
      </c>
      <c r="H57" s="102">
        <f>B57-D57</f>
        <v>2897.748000000006</v>
      </c>
      <c r="I57" s="102">
        <f>C57-D57</f>
        <v>9099.700000000006</v>
      </c>
      <c r="K57" s="151"/>
    </row>
    <row r="58" spans="1:11" s="32" customFormat="1" ht="19.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1">
        <f>C58-B58</f>
        <v>0</v>
      </c>
    </row>
    <row r="59" spans="1:11" ht="18.75" thickBot="1">
      <c r="A59" s="20" t="s">
        <v>6</v>
      </c>
      <c r="B59" s="37">
        <v>6217.948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</f>
        <v>2088.4</v>
      </c>
      <c r="E59" s="3">
        <f>D59/D154*100</f>
        <v>0.20593420656510442</v>
      </c>
      <c r="F59" s="3">
        <f>D59/B59*100</f>
        <v>33.58664305330311</v>
      </c>
      <c r="G59" s="3">
        <f t="shared" si="5"/>
        <v>21.761873997040617</v>
      </c>
      <c r="H59" s="39">
        <f>B59-D59</f>
        <v>4129.548000000001</v>
      </c>
      <c r="I59" s="39">
        <f t="shared" si="6"/>
        <v>7508.200000000001</v>
      </c>
      <c r="J59" s="91"/>
      <c r="K59" s="151"/>
    </row>
    <row r="60" spans="1:11" s="91" customFormat="1" ht="18">
      <c r="A60" s="100" t="s">
        <v>3</v>
      </c>
      <c r="B60" s="124">
        <v>1848.048</v>
      </c>
      <c r="C60" s="125">
        <v>3119.7</v>
      </c>
      <c r="D60" s="102">
        <f>77.7+79.1+76.9+40.5+47.3+155.9+45+29.2+85.8+95.3+38.3+30.7+89.8+79.1+80.7+178.9+50.9+35.4+119.2+73</f>
        <v>1508.7000000000003</v>
      </c>
      <c r="E60" s="104">
        <f>D60/D59*100</f>
        <v>72.24190768052098</v>
      </c>
      <c r="F60" s="104">
        <f t="shared" si="7"/>
        <v>81.63748993532637</v>
      </c>
      <c r="G60" s="104">
        <f t="shared" si="5"/>
        <v>48.36041927108377</v>
      </c>
      <c r="H60" s="102">
        <f t="shared" si="8"/>
        <v>339.34799999999973</v>
      </c>
      <c r="I60" s="102">
        <f t="shared" si="6"/>
        <v>1610.9999999999995</v>
      </c>
      <c r="K60" s="151"/>
    </row>
    <row r="61" spans="1:11" s="91" customFormat="1" ht="18">
      <c r="A61" s="100" t="s">
        <v>1</v>
      </c>
      <c r="B61" s="124">
        <v>393.1</v>
      </c>
      <c r="C61" s="125">
        <f>360.7+32.4</f>
        <v>393.09999999999997</v>
      </c>
      <c r="D61" s="102">
        <v>127</v>
      </c>
      <c r="E61" s="104">
        <f>D61/D59*100</f>
        <v>6.081210496073549</v>
      </c>
      <c r="F61" s="104">
        <f>D61/B61*100</f>
        <v>32.30730094123632</v>
      </c>
      <c r="G61" s="104">
        <f t="shared" si="5"/>
        <v>32.30730094123633</v>
      </c>
      <c r="H61" s="102">
        <f t="shared" si="8"/>
        <v>266.1</v>
      </c>
      <c r="I61" s="102">
        <f t="shared" si="6"/>
        <v>266.09999999999997</v>
      </c>
      <c r="K61" s="151"/>
    </row>
    <row r="62" spans="1:11" s="91" customFormat="1" ht="18">
      <c r="A62" s="100" t="s">
        <v>0</v>
      </c>
      <c r="B62" s="124">
        <v>242.72</v>
      </c>
      <c r="C62" s="125">
        <v>393.7</v>
      </c>
      <c r="D62" s="102">
        <f>10.9+43.2+13-3+39.2+5.7+50.2+3.5+0.2+29.7+2.5+1.8+22+0.1+0.7+2.1+0.1</f>
        <v>221.89999999999995</v>
      </c>
      <c r="E62" s="104">
        <f>D62/D59*100</f>
        <v>10.625359126604096</v>
      </c>
      <c r="F62" s="104">
        <f t="shared" si="7"/>
        <v>91.42221489782465</v>
      </c>
      <c r="G62" s="104">
        <f t="shared" si="5"/>
        <v>56.36271272542543</v>
      </c>
      <c r="H62" s="102">
        <f t="shared" si="8"/>
        <v>20.82000000000005</v>
      </c>
      <c r="I62" s="102">
        <f t="shared" si="6"/>
        <v>171.80000000000004</v>
      </c>
      <c r="K62" s="151"/>
    </row>
    <row r="63" spans="1:11" s="91" customFormat="1" ht="18">
      <c r="A63" s="100" t="s">
        <v>14</v>
      </c>
      <c r="B63" s="124">
        <v>3130.096</v>
      </c>
      <c r="C63" s="125">
        <v>4866.6</v>
      </c>
      <c r="D63" s="102">
        <v>0</v>
      </c>
      <c r="E63" s="104">
        <f>D63/D59*100</f>
        <v>0</v>
      </c>
      <c r="F63" s="104">
        <f t="shared" si="7"/>
        <v>0</v>
      </c>
      <c r="G63" s="104">
        <f t="shared" si="5"/>
        <v>0</v>
      </c>
      <c r="H63" s="102">
        <f t="shared" si="8"/>
        <v>3130.096</v>
      </c>
      <c r="I63" s="102">
        <f t="shared" si="6"/>
        <v>4866.6</v>
      </c>
      <c r="K63" s="151"/>
    </row>
    <row r="64" spans="1:11" s="91" customFormat="1" ht="18.75" thickBot="1">
      <c r="A64" s="100" t="s">
        <v>27</v>
      </c>
      <c r="B64" s="125">
        <f>B59-B60-B62-B63-B61</f>
        <v>603.9840000000003</v>
      </c>
      <c r="C64" s="125">
        <f>C59-C60-C62-C63-C61</f>
        <v>823.5000000000005</v>
      </c>
      <c r="D64" s="125">
        <f>D59-D60-D62-D63-D61</f>
        <v>230.79999999999984</v>
      </c>
      <c r="E64" s="104">
        <f>D64/D59*100</f>
        <v>11.05152269680137</v>
      </c>
      <c r="F64" s="104">
        <f t="shared" si="7"/>
        <v>38.21293279292162</v>
      </c>
      <c r="G64" s="104">
        <f t="shared" si="5"/>
        <v>28.026715239829958</v>
      </c>
      <c r="H64" s="102">
        <f t="shared" si="8"/>
        <v>373.1840000000004</v>
      </c>
      <c r="I64" s="102">
        <f t="shared" si="6"/>
        <v>592.7000000000006</v>
      </c>
      <c r="K64" s="151"/>
    </row>
    <row r="65" spans="1:11" s="32" customFormat="1" ht="19.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1">
        <f>C65-B65</f>
        <v>0</v>
      </c>
    </row>
    <row r="66" spans="1:11" s="32" customFormat="1" ht="19.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1">
        <f>C66-B66</f>
        <v>0</v>
      </c>
    </row>
    <row r="67" spans="1:11" s="32" customFormat="1" ht="19.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1">
        <f>C67-B67</f>
        <v>0</v>
      </c>
    </row>
    <row r="68" spans="1:11" s="32" customFormat="1" ht="19.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1">
        <f>C68-B68</f>
        <v>0</v>
      </c>
    </row>
    <row r="69" spans="1:11" ht="18.75" thickBot="1">
      <c r="A69" s="20" t="s">
        <v>20</v>
      </c>
      <c r="B69" s="38">
        <f>B70+B71</f>
        <v>325.21000000000004</v>
      </c>
      <c r="C69" s="38">
        <f>C70+C71</f>
        <v>438.9</v>
      </c>
      <c r="D69" s="39">
        <f>D70+D71</f>
        <v>227</v>
      </c>
      <c r="E69" s="30">
        <f>D69/D154*100</f>
        <v>0.022384152887511347</v>
      </c>
      <c r="F69" s="3">
        <f>D69/B69*100</f>
        <v>69.80105162817871</v>
      </c>
      <c r="G69" s="3">
        <f t="shared" si="5"/>
        <v>51.720209614946455</v>
      </c>
      <c r="H69" s="39">
        <f>B69-D69</f>
        <v>98.21000000000004</v>
      </c>
      <c r="I69" s="39">
        <f t="shared" si="6"/>
        <v>211.89999999999998</v>
      </c>
      <c r="J69" s="91"/>
      <c r="K69" s="151"/>
    </row>
    <row r="70" spans="1:11" s="91" customFormat="1" ht="18">
      <c r="A70" s="100" t="s">
        <v>8</v>
      </c>
      <c r="B70" s="124">
        <f>256.1+36-12-53.1</f>
        <v>227.00000000000003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99.99999999999999</v>
      </c>
      <c r="G70" s="104">
        <f t="shared" si="5"/>
        <v>99.73637961335677</v>
      </c>
      <c r="H70" s="102">
        <f t="shared" si="8"/>
        <v>0</v>
      </c>
      <c r="I70" s="102">
        <f t="shared" si="6"/>
        <v>0.5999999999999943</v>
      </c>
      <c r="K70" s="151"/>
    </row>
    <row r="71" spans="1:11" s="91" customFormat="1" ht="18.75" thickBot="1">
      <c r="A71" s="100" t="s">
        <v>9</v>
      </c>
      <c r="B71" s="124">
        <v>98.21</v>
      </c>
      <c r="C71" s="125">
        <f>293.1-30-14-37.9+0.1</f>
        <v>211.3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98.21</v>
      </c>
      <c r="I71" s="102">
        <f t="shared" si="6"/>
        <v>211.3</v>
      </c>
      <c r="K71" s="151"/>
    </row>
    <row r="72" spans="1:11" ht="38.2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1"/>
      <c r="K72" s="151"/>
    </row>
    <row r="73" spans="1:11" ht="18.75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1"/>
      <c r="K73" s="151"/>
    </row>
    <row r="74" spans="1:11" ht="18.75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1"/>
      <c r="K74" s="151"/>
    </row>
    <row r="75" spans="1:11" ht="18.75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1"/>
      <c r="K75" s="151"/>
    </row>
    <row r="76" spans="1:11" ht="19.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1"/>
      <c r="K76" s="151"/>
    </row>
    <row r="77" spans="1:11" s="32" customFormat="1" ht="19.5" thickBot="1">
      <c r="A77" s="23" t="s">
        <v>13</v>
      </c>
      <c r="B77" s="45">
        <v>0</v>
      </c>
      <c r="C77" s="52">
        <f>17000-13500-1000</f>
        <v>2500</v>
      </c>
      <c r="D77" s="53"/>
      <c r="E77" s="33"/>
      <c r="F77" s="33"/>
      <c r="G77" s="33"/>
      <c r="H77" s="53">
        <f>B77-D77</f>
        <v>0</v>
      </c>
      <c r="I77" s="53">
        <f t="shared" si="6"/>
        <v>2500</v>
      </c>
      <c r="J77" s="92"/>
      <c r="K77" s="151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91"/>
      <c r="K78" s="151"/>
    </row>
    <row r="79" spans="1:11" ht="18.75" customHeight="1" hidden="1" thickBot="1">
      <c r="A79" s="12" t="s">
        <v>56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1"/>
      <c r="K79" s="151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2"/>
      <c r="K80" s="151"/>
    </row>
    <row r="81" spans="1:11" s="8" customFormat="1" ht="30.7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2"/>
      <c r="K81" s="151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2"/>
      <c r="K82" s="151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2"/>
      <c r="K83" s="151"/>
    </row>
    <row r="84" spans="1:11" ht="35.25" customHeight="1" hidden="1" thickBot="1">
      <c r="A84" s="12" t="s">
        <v>35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1"/>
      <c r="K84" s="151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1"/>
      <c r="K85" s="151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1"/>
      <c r="K86" s="151"/>
    </row>
    <row r="87" spans="1:11" ht="34.5" customHeight="1" hidden="1" thickBot="1">
      <c r="A87" s="12" t="s">
        <v>36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1"/>
      <c r="K87" s="151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1"/>
      <c r="K88" s="151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1"/>
      <c r="K89" s="151"/>
    </row>
    <row r="90" spans="1:11" ht="19.5" thickBot="1">
      <c r="A90" s="12" t="s">
        <v>10</v>
      </c>
      <c r="B90" s="44">
        <v>127854.711</v>
      </c>
      <c r="C90" s="38">
        <f>200580.6+2044.4+100+113.7</f>
        <v>202838.7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</f>
        <v>105862.19999999997</v>
      </c>
      <c r="E90" s="3">
        <f>D90/D154*100</f>
        <v>10.438923655543185</v>
      </c>
      <c r="F90" s="3">
        <f aca="true" t="shared" si="11" ref="F90:F96">D90/B90*100</f>
        <v>82.79882623957437</v>
      </c>
      <c r="G90" s="3">
        <f t="shared" si="9"/>
        <v>52.19033645946259</v>
      </c>
      <c r="H90" s="39">
        <f aca="true" t="shared" si="12" ref="H90:H96">B90-D90</f>
        <v>21992.511000000028</v>
      </c>
      <c r="I90" s="39">
        <f t="shared" si="10"/>
        <v>96976.50000000004</v>
      </c>
      <c r="J90" s="91"/>
      <c r="K90" s="151"/>
    </row>
    <row r="91" spans="1:11" s="91" customFormat="1" ht="18">
      <c r="A91" s="100" t="s">
        <v>3</v>
      </c>
      <c r="B91" s="124">
        <v>119517.657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</f>
        <v>101123.30999999997</v>
      </c>
      <c r="E91" s="104">
        <f>D91/D90*100</f>
        <v>95.52352964514246</v>
      </c>
      <c r="F91" s="104">
        <f t="shared" si="11"/>
        <v>84.60951506102565</v>
      </c>
      <c r="G91" s="104">
        <f t="shared" si="9"/>
        <v>53.235879555659196</v>
      </c>
      <c r="H91" s="102">
        <f t="shared" si="12"/>
        <v>18394.347000000038</v>
      </c>
      <c r="I91" s="102">
        <f t="shared" si="10"/>
        <v>88829.99000000002</v>
      </c>
      <c r="K91" s="151"/>
    </row>
    <row r="92" spans="1:11" s="91" customFormat="1" ht="18">
      <c r="A92" s="100" t="s">
        <v>25</v>
      </c>
      <c r="B92" s="124">
        <v>1634.175</v>
      </c>
      <c r="C92" s="125">
        <v>2776.4</v>
      </c>
      <c r="D92" s="102">
        <f>57.2+3.4+167+1.4+0.3+83.4+86.9+53.1+5.3+4.7+17+71.3+284.2+22.2+4.8+1.6+54.8+7+38.2+1.9+190+51.9+21+0.9+36.9+5.5</f>
        <v>1271.9000000000003</v>
      </c>
      <c r="E92" s="104">
        <f>D92/D90*100</f>
        <v>1.20146756821604</v>
      </c>
      <c r="F92" s="104">
        <f t="shared" si="11"/>
        <v>77.83132161488216</v>
      </c>
      <c r="G92" s="104">
        <f t="shared" si="9"/>
        <v>45.81112231666908</v>
      </c>
      <c r="H92" s="102">
        <f t="shared" si="12"/>
        <v>362.27499999999964</v>
      </c>
      <c r="I92" s="102">
        <f t="shared" si="10"/>
        <v>1504.4999999999998</v>
      </c>
      <c r="K92" s="151"/>
    </row>
    <row r="93" spans="1:11" s="91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51">
        <f aca="true" t="shared" si="13" ref="K93:K101">C93-B93</f>
        <v>0</v>
      </c>
    </row>
    <row r="94" spans="1:11" s="91" customFormat="1" ht="18.75" thickBot="1">
      <c r="A94" s="100" t="s">
        <v>27</v>
      </c>
      <c r="B94" s="125">
        <f>B90-B91-B92-B93</f>
        <v>6702.878999999989</v>
      </c>
      <c r="C94" s="125">
        <f>C90-C91-C92-C93</f>
        <v>10109.000000000024</v>
      </c>
      <c r="D94" s="125">
        <f>D90-D91-D92-D93</f>
        <v>3466.989999999999</v>
      </c>
      <c r="E94" s="104">
        <f>D94/D90*100</f>
        <v>3.275002786641502</v>
      </c>
      <c r="F94" s="104">
        <f t="shared" si="11"/>
        <v>51.72389356871883</v>
      </c>
      <c r="G94" s="104">
        <f>D94/C94*100</f>
        <v>34.29607280641004</v>
      </c>
      <c r="H94" s="102">
        <f t="shared" si="12"/>
        <v>3235.88899999999</v>
      </c>
      <c r="I94" s="102">
        <f>C94-D94</f>
        <v>6642.010000000025</v>
      </c>
      <c r="K94" s="151"/>
    </row>
    <row r="95" spans="1:11" ht="18.75">
      <c r="A95" s="80" t="s">
        <v>12</v>
      </c>
      <c r="B95" s="89">
        <v>27505.06222</v>
      </c>
      <c r="C95" s="83">
        <f>46414.5+100+39.4+1153.5-64.6-244.3</f>
        <v>47398.5</v>
      </c>
      <c r="D95" s="82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</f>
        <v>19907.300000000003</v>
      </c>
      <c r="E95" s="79">
        <f>D95/D154*100</f>
        <v>1.9630310430729283</v>
      </c>
      <c r="F95" s="81">
        <f t="shared" si="11"/>
        <v>72.37685863340687</v>
      </c>
      <c r="G95" s="78">
        <f>D95/C95*100</f>
        <v>41.999852316001565</v>
      </c>
      <c r="H95" s="82">
        <f t="shared" si="12"/>
        <v>7597.762219999997</v>
      </c>
      <c r="I95" s="85">
        <f>C95-D95</f>
        <v>27491.199999999997</v>
      </c>
      <c r="J95" s="91"/>
      <c r="K95" s="151"/>
    </row>
    <row r="96" spans="1:11" s="91" customFormat="1" ht="18.75" thickBot="1">
      <c r="A96" s="127" t="s">
        <v>83</v>
      </c>
      <c r="B96" s="128">
        <v>7116.12264</v>
      </c>
      <c r="C96" s="129">
        <v>12814.2</v>
      </c>
      <c r="D96" s="130">
        <f>194.6+1234+3.4+0.5+79.6+1026.4+0.7+86.4+939.3+4.2+87.7+624.7+8+489.4+90.3+1.9+597.9+5.5+67.2+2.1+31.9+0.2+90.5+32.4+530.2</f>
        <v>6228.999999999997</v>
      </c>
      <c r="E96" s="131">
        <f>D96/D95*100</f>
        <v>31.290029285739386</v>
      </c>
      <c r="F96" s="132">
        <f t="shared" si="11"/>
        <v>87.53362350708443</v>
      </c>
      <c r="G96" s="133">
        <f>D96/C96*100</f>
        <v>48.610135630784576</v>
      </c>
      <c r="H96" s="134">
        <f t="shared" si="12"/>
        <v>887.1226400000023</v>
      </c>
      <c r="I96" s="123">
        <f>C96-D96</f>
        <v>6585.2000000000035</v>
      </c>
      <c r="K96" s="151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1"/>
      <c r="K97" s="151"/>
    </row>
    <row r="98" spans="1:11" ht="19.5" hidden="1" thickBot="1">
      <c r="A98" s="25" t="s">
        <v>37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91"/>
      <c r="K98" s="151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91"/>
      <c r="K99" s="151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3"/>
      <c r="K100" s="151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91"/>
      <c r="K101" s="151">
        <f t="shared" si="13"/>
        <v>0</v>
      </c>
    </row>
    <row r="102" spans="1:11" s="32" customFormat="1" ht="19.5" thickBot="1">
      <c r="A102" s="12" t="s">
        <v>11</v>
      </c>
      <c r="B102" s="88">
        <v>9073.2</v>
      </c>
      <c r="C102" s="68">
        <f>11266.5-91.2+1707.2+14.9+0.2</f>
        <v>12897.6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</f>
        <v>6989.4</v>
      </c>
      <c r="E102" s="17">
        <f>D102/D154*100</f>
        <v>0.6892149700086864</v>
      </c>
      <c r="F102" s="17">
        <f>D102/B102*100</f>
        <v>77.03346118238326</v>
      </c>
      <c r="G102" s="17">
        <f aca="true" t="shared" si="14" ref="G102:G152">D102/C102*100</f>
        <v>54.1914774841831</v>
      </c>
      <c r="H102" s="64">
        <f aca="true" t="shared" si="15" ref="H102:H108">B102-D102</f>
        <v>2083.800000000001</v>
      </c>
      <c r="I102" s="64">
        <f aca="true" t="shared" si="16" ref="I102:I152">C102-D102</f>
        <v>5908.200000000001</v>
      </c>
      <c r="J102" s="92"/>
      <c r="K102" s="151"/>
    </row>
    <row r="103" spans="1:11" s="91" customFormat="1" ht="18.75" customHeight="1">
      <c r="A103" s="100" t="s">
        <v>3</v>
      </c>
      <c r="B103" s="116">
        <v>181.9</v>
      </c>
      <c r="C103" s="117">
        <v>363.8</v>
      </c>
      <c r="D103" s="117">
        <f>31.2+4.8+33.9+5.2</f>
        <v>75.10000000000001</v>
      </c>
      <c r="E103" s="118">
        <f>D103/D102*100</f>
        <v>1.0744842189601398</v>
      </c>
      <c r="F103" s="104">
        <f>D103/B103*100</f>
        <v>41.28642111050028</v>
      </c>
      <c r="G103" s="118">
        <f>D103/C103*100</f>
        <v>20.64321055525014</v>
      </c>
      <c r="H103" s="117">
        <f t="shared" si="15"/>
        <v>106.8</v>
      </c>
      <c r="I103" s="117">
        <f t="shared" si="16"/>
        <v>288.7</v>
      </c>
      <c r="K103" s="151"/>
    </row>
    <row r="104" spans="1:11" s="91" customFormat="1" ht="18">
      <c r="A104" s="119" t="s">
        <v>48</v>
      </c>
      <c r="B104" s="101">
        <v>7725.7</v>
      </c>
      <c r="C104" s="102">
        <f>8949.2-91.2+1682.1+14.9</f>
        <v>10555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</f>
        <v>6371.6</v>
      </c>
      <c r="E104" s="104">
        <f>D104/D102*100</f>
        <v>91.16090079262885</v>
      </c>
      <c r="F104" s="104">
        <f aca="true" t="shared" si="17" ref="F104:F152">D104/B104*100</f>
        <v>82.47278563754742</v>
      </c>
      <c r="G104" s="104">
        <f t="shared" si="14"/>
        <v>60.365703458076744</v>
      </c>
      <c r="H104" s="102">
        <f t="shared" si="15"/>
        <v>1354.0999999999995</v>
      </c>
      <c r="I104" s="102">
        <f t="shared" si="16"/>
        <v>4183.4</v>
      </c>
      <c r="K104" s="151"/>
    </row>
    <row r="105" spans="1:11" s="91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5"/>
        <v>0</v>
      </c>
      <c r="I105" s="123">
        <f>C105-D105</f>
        <v>0</v>
      </c>
      <c r="K105" s="151"/>
    </row>
    <row r="106" spans="1:11" s="91" customFormat="1" ht="18.75" thickBot="1">
      <c r="A106" s="120" t="s">
        <v>27</v>
      </c>
      <c r="B106" s="121">
        <f>B102-B103-B104</f>
        <v>1165.6000000000013</v>
      </c>
      <c r="C106" s="121">
        <f>C102-C103-C104</f>
        <v>1978.800000000001</v>
      </c>
      <c r="D106" s="121">
        <f>D102-D103-D104</f>
        <v>542.6999999999989</v>
      </c>
      <c r="E106" s="122">
        <f>D106/D102*100</f>
        <v>7.764614988411007</v>
      </c>
      <c r="F106" s="122">
        <f t="shared" si="17"/>
        <v>46.559711736444605</v>
      </c>
      <c r="G106" s="122">
        <f t="shared" si="14"/>
        <v>27.425712553062393</v>
      </c>
      <c r="H106" s="123">
        <f t="shared" si="15"/>
        <v>622.9000000000024</v>
      </c>
      <c r="I106" s="123">
        <f t="shared" si="16"/>
        <v>1436.1000000000022</v>
      </c>
      <c r="K106" s="151"/>
    </row>
    <row r="107" spans="1:12" s="2" customFormat="1" ht="26.25" customHeight="1" thickBot="1">
      <c r="A107" s="65" t="s">
        <v>28</v>
      </c>
      <c r="B107" s="66">
        <f>SUM(B108:B151)-B115-B120+B152-B142-B143-B109-B112-B123-B124-B140-B133-B131-B138-B118</f>
        <v>302090.0810700001</v>
      </c>
      <c r="C107" s="66">
        <f>SUM(C108:C151)-C115-C120+C152-C142-C143-C109-C112-C123-C124-C140-C133-C131-C138-C118</f>
        <v>563472.3999999999</v>
      </c>
      <c r="D107" s="66">
        <f>SUM(D108:D151)-D115-D120+D152-D142-D143-D109-D112-D123-D124-D140-D133-D131-D138-D118</f>
        <v>192495</v>
      </c>
      <c r="E107" s="67">
        <f>D107/D154*100</f>
        <v>18.981663040006595</v>
      </c>
      <c r="F107" s="67">
        <f>D107/B107*100</f>
        <v>63.721059399959316</v>
      </c>
      <c r="G107" s="67">
        <f t="shared" si="14"/>
        <v>34.162276626148866</v>
      </c>
      <c r="H107" s="66">
        <f t="shared" si="15"/>
        <v>109595.08107000007</v>
      </c>
      <c r="I107" s="66">
        <f t="shared" si="16"/>
        <v>370977.3999999999</v>
      </c>
      <c r="J107" s="111"/>
      <c r="K107" s="151"/>
      <c r="L107" s="94"/>
    </row>
    <row r="108" spans="1:12" s="91" customFormat="1" ht="37.5">
      <c r="A108" s="95" t="s">
        <v>52</v>
      </c>
      <c r="B108" s="159">
        <v>2559.3</v>
      </c>
      <c r="C108" s="156">
        <v>4459</v>
      </c>
      <c r="D108" s="96">
        <f>17.1+81.1+17.3+60.5+173.3+3.4+2+0.4+29.3+1.7+177.1+0.8+38.8+139.8+0.3+1.9+1.8+6.5+136+91.3+0.1+1.8+1.1+2.4+3.5+2+3.4+72.2+73.1+42.5+21.2+13.2+0.2+17.6-34.7+31.4+109.2+11.6+31.6+1.8+1.8+136.5</f>
        <v>1523.8999999999994</v>
      </c>
      <c r="E108" s="97">
        <f>D108/D107*100</f>
        <v>0.7916569261539257</v>
      </c>
      <c r="F108" s="97">
        <f t="shared" si="17"/>
        <v>59.543625210018334</v>
      </c>
      <c r="G108" s="97">
        <f t="shared" si="14"/>
        <v>34.17582417582416</v>
      </c>
      <c r="H108" s="98">
        <f t="shared" si="15"/>
        <v>1035.4000000000008</v>
      </c>
      <c r="I108" s="98">
        <f t="shared" si="16"/>
        <v>2935.1000000000004</v>
      </c>
      <c r="K108" s="151"/>
      <c r="L108" s="99"/>
    </row>
    <row r="109" spans="1:12" s="91" customFormat="1" ht="18.75">
      <c r="A109" s="100" t="s">
        <v>25</v>
      </c>
      <c r="B109" s="101">
        <v>1077.6</v>
      </c>
      <c r="C109" s="102">
        <v>1995</v>
      </c>
      <c r="D109" s="103">
        <f>47.8+0.9+59.7+88.3+0.1+59.2+38.8+107.4+24+91.1+38+42.5+2+31.4+47.6</f>
        <v>678.8000000000001</v>
      </c>
      <c r="E109" s="104">
        <f>D109/D108*100</f>
        <v>44.54360522343988</v>
      </c>
      <c r="F109" s="104">
        <f t="shared" si="17"/>
        <v>62.9918337045286</v>
      </c>
      <c r="G109" s="104">
        <f t="shared" si="14"/>
        <v>34.02506265664161</v>
      </c>
      <c r="H109" s="102">
        <f aca="true" t="shared" si="18" ref="H109:H152">B109-D109</f>
        <v>398.79999999999984</v>
      </c>
      <c r="I109" s="102">
        <f t="shared" si="16"/>
        <v>1316.1999999999998</v>
      </c>
      <c r="K109" s="151"/>
      <c r="L109" s="99"/>
    </row>
    <row r="110" spans="1:12" s="91" customFormat="1" ht="34.5" customHeight="1" hidden="1">
      <c r="A110" s="105" t="s">
        <v>78</v>
      </c>
      <c r="B110" s="158"/>
      <c r="C110" s="98"/>
      <c r="D110" s="96"/>
      <c r="E110" s="97">
        <f>D110/D107*100</f>
        <v>0</v>
      </c>
      <c r="F110" s="97" t="e">
        <f>D110/B110*100</f>
        <v>#DIV/0!</v>
      </c>
      <c r="G110" s="97" t="e">
        <f t="shared" si="14"/>
        <v>#DIV/0!</v>
      </c>
      <c r="H110" s="98">
        <f t="shared" si="18"/>
        <v>0</v>
      </c>
      <c r="I110" s="98">
        <f t="shared" si="16"/>
        <v>0</v>
      </c>
      <c r="K110" s="151"/>
      <c r="L110" s="99"/>
    </row>
    <row r="111" spans="1:12" s="92" customFormat="1" ht="34.5" customHeight="1">
      <c r="A111" s="105" t="s">
        <v>93</v>
      </c>
      <c r="B111" s="160">
        <v>125.7</v>
      </c>
      <c r="C111" s="106">
        <v>200</v>
      </c>
      <c r="D111" s="107"/>
      <c r="E111" s="97">
        <f>D111/D107*100</f>
        <v>0</v>
      </c>
      <c r="F111" s="108">
        <f t="shared" si="17"/>
        <v>0</v>
      </c>
      <c r="G111" s="97">
        <f t="shared" si="14"/>
        <v>0</v>
      </c>
      <c r="H111" s="98">
        <f t="shared" si="18"/>
        <v>125.7</v>
      </c>
      <c r="I111" s="98">
        <f t="shared" si="16"/>
        <v>200</v>
      </c>
      <c r="K111" s="151"/>
      <c r="L111" s="99"/>
    </row>
    <row r="112" spans="1:12" s="91" customFormat="1" ht="18.75" hidden="1">
      <c r="A112" s="100" t="s">
        <v>25</v>
      </c>
      <c r="B112" s="157"/>
      <c r="C112" s="102"/>
      <c r="D112" s="103"/>
      <c r="E112" s="104"/>
      <c r="F112" s="104" t="e">
        <f t="shared" si="17"/>
        <v>#DIV/0!</v>
      </c>
      <c r="G112" s="104" t="e">
        <f t="shared" si="14"/>
        <v>#DIV/0!</v>
      </c>
      <c r="H112" s="102">
        <f t="shared" si="18"/>
        <v>0</v>
      </c>
      <c r="I112" s="102">
        <f t="shared" si="16"/>
        <v>0</v>
      </c>
      <c r="K112" s="151"/>
      <c r="L112" s="99"/>
    </row>
    <row r="113" spans="1:12" s="91" customFormat="1" ht="18.75">
      <c r="A113" s="105" t="s">
        <v>89</v>
      </c>
      <c r="B113" s="160">
        <v>51.7</v>
      </c>
      <c r="C113" s="98">
        <v>64.3</v>
      </c>
      <c r="D113" s="96"/>
      <c r="E113" s="97">
        <f>D113/D107*100</f>
        <v>0</v>
      </c>
      <c r="F113" s="97">
        <f t="shared" si="17"/>
        <v>0</v>
      </c>
      <c r="G113" s="97">
        <f t="shared" si="14"/>
        <v>0</v>
      </c>
      <c r="H113" s="98">
        <f t="shared" si="18"/>
        <v>51.7</v>
      </c>
      <c r="I113" s="98">
        <f t="shared" si="16"/>
        <v>64.3</v>
      </c>
      <c r="K113" s="151"/>
      <c r="L113" s="99"/>
    </row>
    <row r="114" spans="1:12" s="91" customFormat="1" ht="37.5">
      <c r="A114" s="105" t="s">
        <v>38</v>
      </c>
      <c r="B114" s="160">
        <v>1988</v>
      </c>
      <c r="C114" s="98">
        <v>3311.5</v>
      </c>
      <c r="D114" s="96">
        <f>136.4+10+40+6.6+6.1+0.2+177.4+10+1.8+25.1+29.4+48.1+8.1+193.1+10+0.1+17.8+8.8+132.4+79.7+12.6+4.3+3.5+212.4+8.1+0.4+10.8+218.3</f>
        <v>1411.5</v>
      </c>
      <c r="E114" s="97">
        <f>D114/D107*100</f>
        <v>0.7332657991116652</v>
      </c>
      <c r="F114" s="97">
        <f t="shared" si="17"/>
        <v>71.0010060362173</v>
      </c>
      <c r="G114" s="97">
        <f t="shared" si="14"/>
        <v>42.624188434244296</v>
      </c>
      <c r="H114" s="98">
        <f t="shared" si="18"/>
        <v>576.5</v>
      </c>
      <c r="I114" s="98">
        <f t="shared" si="16"/>
        <v>1900</v>
      </c>
      <c r="K114" s="151"/>
      <c r="L114" s="99"/>
    </row>
    <row r="115" spans="1:12" s="91" customFormat="1" ht="18.75" hidden="1">
      <c r="A115" s="109" t="s">
        <v>43</v>
      </c>
      <c r="B115" s="157"/>
      <c r="C115" s="102"/>
      <c r="D115" s="103"/>
      <c r="E115" s="97"/>
      <c r="F115" s="97" t="e">
        <f t="shared" si="17"/>
        <v>#DIV/0!</v>
      </c>
      <c r="G115" s="104" t="e">
        <f t="shared" si="14"/>
        <v>#DIV/0!</v>
      </c>
      <c r="H115" s="102">
        <f t="shared" si="18"/>
        <v>0</v>
      </c>
      <c r="I115" s="102">
        <f t="shared" si="16"/>
        <v>0</v>
      </c>
      <c r="K115" s="151"/>
      <c r="L115" s="99"/>
    </row>
    <row r="116" spans="1:12" s="92" customFormat="1" ht="18.75" customHeight="1" hidden="1">
      <c r="A116" s="105" t="s">
        <v>90</v>
      </c>
      <c r="B116" s="158"/>
      <c r="C116" s="106"/>
      <c r="D116" s="107"/>
      <c r="E116" s="110">
        <f>D116/D107*100</f>
        <v>0</v>
      </c>
      <c r="F116" s="97" t="e">
        <f t="shared" si="17"/>
        <v>#DIV/0!</v>
      </c>
      <c r="G116" s="110" t="e">
        <f t="shared" si="14"/>
        <v>#DIV/0!</v>
      </c>
      <c r="H116" s="106">
        <f t="shared" si="18"/>
        <v>0</v>
      </c>
      <c r="I116" s="106">
        <f t="shared" si="16"/>
        <v>0</v>
      </c>
      <c r="K116" s="151"/>
      <c r="L116" s="99"/>
    </row>
    <row r="117" spans="1:12" s="91" customFormat="1" ht="37.5">
      <c r="A117" s="105" t="s">
        <v>47</v>
      </c>
      <c r="B117" s="160">
        <v>184</v>
      </c>
      <c r="C117" s="98">
        <v>200</v>
      </c>
      <c r="D117" s="96">
        <f>15+40</f>
        <v>55</v>
      </c>
      <c r="E117" s="97">
        <f>D117/D107*100</f>
        <v>0.028572170705732616</v>
      </c>
      <c r="F117" s="97">
        <f>D117/B117*100</f>
        <v>29.891304347826086</v>
      </c>
      <c r="G117" s="97">
        <f t="shared" si="14"/>
        <v>27.500000000000004</v>
      </c>
      <c r="H117" s="98">
        <f t="shared" si="18"/>
        <v>129</v>
      </c>
      <c r="I117" s="98">
        <f t="shared" si="16"/>
        <v>145</v>
      </c>
      <c r="K117" s="151"/>
      <c r="L117" s="99"/>
    </row>
    <row r="118" spans="1:12" s="91" customFormat="1" ht="18.75">
      <c r="A118" s="109" t="s">
        <v>88</v>
      </c>
      <c r="B118" s="101">
        <v>40</v>
      </c>
      <c r="C118" s="102">
        <v>40</v>
      </c>
      <c r="D118" s="103">
        <v>40</v>
      </c>
      <c r="E118" s="104">
        <f>D118/D117*100</f>
        <v>72.72727272727273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51"/>
      <c r="L118" s="99"/>
    </row>
    <row r="119" spans="1:12" s="111" customFormat="1" ht="18.75">
      <c r="A119" s="105" t="s">
        <v>15</v>
      </c>
      <c r="B119" s="160">
        <v>275.8</v>
      </c>
      <c r="C119" s="106">
        <v>491.6</v>
      </c>
      <c r="D119" s="96">
        <f>45.4+9.9+47+6.4+0.4+0.4+45.4+0.4+2.9+45.4+4+6.8+0.4+45.4+0.1+5.8+0.8+0.4</f>
        <v>267.30000000000007</v>
      </c>
      <c r="E119" s="97">
        <f>D119/D107*100</f>
        <v>0.13886074962986056</v>
      </c>
      <c r="F119" s="97">
        <f t="shared" si="17"/>
        <v>96.91805656272663</v>
      </c>
      <c r="G119" s="97">
        <f t="shared" si="14"/>
        <v>54.373474369406026</v>
      </c>
      <c r="H119" s="98">
        <f t="shared" si="18"/>
        <v>8.499999999999943</v>
      </c>
      <c r="I119" s="98">
        <f t="shared" si="16"/>
        <v>224.29999999999995</v>
      </c>
      <c r="K119" s="151"/>
      <c r="L119" s="99"/>
    </row>
    <row r="120" spans="1:12" s="112" customFormat="1" ht="18.75">
      <c r="A120" s="109" t="s">
        <v>43</v>
      </c>
      <c r="B120" s="101">
        <v>227.1</v>
      </c>
      <c r="C120" s="102">
        <v>408.8</v>
      </c>
      <c r="D120" s="103">
        <f>45.4+45.4+45.4+45.4+45.4+0.1</f>
        <v>227.1</v>
      </c>
      <c r="E120" s="104">
        <f>D120/D119*100</f>
        <v>84.9607182940516</v>
      </c>
      <c r="F120" s="104">
        <f t="shared" si="17"/>
        <v>100</v>
      </c>
      <c r="G120" s="104">
        <f t="shared" si="14"/>
        <v>55.55283757338552</v>
      </c>
      <c r="H120" s="102">
        <f t="shared" si="18"/>
        <v>0</v>
      </c>
      <c r="I120" s="102">
        <f t="shared" si="16"/>
        <v>181.70000000000002</v>
      </c>
      <c r="K120" s="151"/>
      <c r="L120" s="99"/>
    </row>
    <row r="121" spans="1:12" s="111" customFormat="1" ht="18.75">
      <c r="A121" s="105" t="s">
        <v>105</v>
      </c>
      <c r="B121" s="160">
        <v>165</v>
      </c>
      <c r="C121" s="106">
        <v>317</v>
      </c>
      <c r="D121" s="96">
        <v>3.6</v>
      </c>
      <c r="E121" s="97">
        <f>D121/D107*100</f>
        <v>0.0018701784461934076</v>
      </c>
      <c r="F121" s="97">
        <f t="shared" si="17"/>
        <v>2.181818181818182</v>
      </c>
      <c r="G121" s="97">
        <f t="shared" si="14"/>
        <v>1.135646687697161</v>
      </c>
      <c r="H121" s="98">
        <f t="shared" si="18"/>
        <v>161.4</v>
      </c>
      <c r="I121" s="98">
        <f t="shared" si="16"/>
        <v>313.4</v>
      </c>
      <c r="K121" s="151"/>
      <c r="L121" s="99"/>
    </row>
    <row r="122" spans="1:12" s="111" customFormat="1" ht="21.75" customHeight="1">
      <c r="A122" s="105" t="s">
        <v>94</v>
      </c>
      <c r="B122" s="160">
        <v>480</v>
      </c>
      <c r="C122" s="106">
        <f>480+80</f>
        <v>560</v>
      </c>
      <c r="D122" s="107">
        <f>12</f>
        <v>12</v>
      </c>
      <c r="E122" s="110">
        <f>D122/D107*100</f>
        <v>0.006233928153978026</v>
      </c>
      <c r="F122" s="97">
        <f t="shared" si="17"/>
        <v>2.5</v>
      </c>
      <c r="G122" s="97">
        <f t="shared" si="14"/>
        <v>2.142857142857143</v>
      </c>
      <c r="H122" s="98">
        <f t="shared" si="18"/>
        <v>468</v>
      </c>
      <c r="I122" s="98">
        <f t="shared" si="16"/>
        <v>548</v>
      </c>
      <c r="K122" s="151"/>
      <c r="L122" s="99"/>
    </row>
    <row r="123" spans="1:12" s="114" customFormat="1" ht="18.75" hidden="1">
      <c r="A123" s="100" t="s">
        <v>80</v>
      </c>
      <c r="B123" s="157"/>
      <c r="C123" s="102"/>
      <c r="D123" s="103"/>
      <c r="E123" s="97"/>
      <c r="F123" s="113" t="e">
        <f>D123/B123*100</f>
        <v>#DIV/0!</v>
      </c>
      <c r="G123" s="104" t="e">
        <f t="shared" si="14"/>
        <v>#DIV/0!</v>
      </c>
      <c r="H123" s="102">
        <f t="shared" si="18"/>
        <v>0</v>
      </c>
      <c r="I123" s="102">
        <f t="shared" si="16"/>
        <v>0</v>
      </c>
      <c r="K123" s="151"/>
      <c r="L123" s="99"/>
    </row>
    <row r="124" spans="1:12" s="114" customFormat="1" ht="18.75" hidden="1">
      <c r="A124" s="100" t="s">
        <v>49</v>
      </c>
      <c r="B124" s="157"/>
      <c r="C124" s="102"/>
      <c r="D124" s="103"/>
      <c r="E124" s="97"/>
      <c r="F124" s="104" t="e">
        <f>D124/B124*100</f>
        <v>#DIV/0!</v>
      </c>
      <c r="G124" s="104" t="e">
        <f t="shared" si="14"/>
        <v>#DIV/0!</v>
      </c>
      <c r="H124" s="102">
        <f t="shared" si="18"/>
        <v>0</v>
      </c>
      <c r="I124" s="102">
        <f t="shared" si="16"/>
        <v>0</v>
      </c>
      <c r="K124" s="151"/>
      <c r="L124" s="99"/>
    </row>
    <row r="125" spans="1:12" s="111" customFormat="1" ht="37.5">
      <c r="A125" s="105" t="s">
        <v>95</v>
      </c>
      <c r="B125" s="160">
        <v>30626.1</v>
      </c>
      <c r="C125" s="106">
        <v>45511.3</v>
      </c>
      <c r="D125" s="107">
        <f>3529.6+2264.3+1265.3+2996.5+533.1+738.7+2380.2+1722.3+1049.4+1874.1+1476.2+1455.5+94.4+1416+1268.6+1913.6+457.2</f>
        <v>26435</v>
      </c>
      <c r="E125" s="110">
        <f>D125/D107*100</f>
        <v>13.732824229200757</v>
      </c>
      <c r="F125" s="97">
        <f t="shared" si="17"/>
        <v>86.31526704346946</v>
      </c>
      <c r="G125" s="97">
        <f t="shared" si="14"/>
        <v>58.0844757236115</v>
      </c>
      <c r="H125" s="98">
        <f t="shared" si="18"/>
        <v>4191.0999999999985</v>
      </c>
      <c r="I125" s="98">
        <f t="shared" si="16"/>
        <v>19076.300000000003</v>
      </c>
      <c r="K125" s="151"/>
      <c r="L125" s="99"/>
    </row>
    <row r="126" spans="1:12" s="111" customFormat="1" ht="18.75">
      <c r="A126" s="105" t="s">
        <v>91</v>
      </c>
      <c r="B126" s="160">
        <v>660</v>
      </c>
      <c r="C126" s="106">
        <v>700</v>
      </c>
      <c r="D126" s="107">
        <f>9.6+1.5</f>
        <v>11.1</v>
      </c>
      <c r="E126" s="110">
        <f>D126/D107*100</f>
        <v>0.005766383542429673</v>
      </c>
      <c r="F126" s="97">
        <f t="shared" si="17"/>
        <v>1.6818181818181819</v>
      </c>
      <c r="G126" s="97">
        <f t="shared" si="14"/>
        <v>1.5857142857142859</v>
      </c>
      <c r="H126" s="98">
        <f t="shared" si="18"/>
        <v>648.9</v>
      </c>
      <c r="I126" s="98">
        <f t="shared" si="16"/>
        <v>688.9</v>
      </c>
      <c r="K126" s="151"/>
      <c r="L126" s="99"/>
    </row>
    <row r="127" spans="1:12" s="111" customFormat="1" ht="37.5">
      <c r="A127" s="105" t="s">
        <v>100</v>
      </c>
      <c r="B127" s="160">
        <v>200</v>
      </c>
      <c r="C127" s="106">
        <v>200</v>
      </c>
      <c r="D127" s="107">
        <v>63.1</v>
      </c>
      <c r="E127" s="110">
        <f>D127/D107*100</f>
        <v>0.032780072209667784</v>
      </c>
      <c r="F127" s="97">
        <f t="shared" si="17"/>
        <v>31.55</v>
      </c>
      <c r="G127" s="97">
        <f t="shared" si="14"/>
        <v>31.55</v>
      </c>
      <c r="H127" s="98">
        <f t="shared" si="18"/>
        <v>136.9</v>
      </c>
      <c r="I127" s="98">
        <f t="shared" si="16"/>
        <v>136.9</v>
      </c>
      <c r="K127" s="151"/>
      <c r="L127" s="99"/>
    </row>
    <row r="128" spans="1:12" s="111" customFormat="1" ht="37.5">
      <c r="A128" s="105" t="s">
        <v>85</v>
      </c>
      <c r="B128" s="160">
        <v>111.1</v>
      </c>
      <c r="C128" s="106">
        <f>111.1</f>
        <v>111.1</v>
      </c>
      <c r="D128" s="107"/>
      <c r="E128" s="110">
        <f>D128/D107*100</f>
        <v>0</v>
      </c>
      <c r="F128" s="97">
        <f t="shared" si="17"/>
        <v>0</v>
      </c>
      <c r="G128" s="97">
        <f t="shared" si="14"/>
        <v>0</v>
      </c>
      <c r="H128" s="98">
        <f t="shared" si="18"/>
        <v>111.1</v>
      </c>
      <c r="I128" s="98">
        <f t="shared" si="16"/>
        <v>111.1</v>
      </c>
      <c r="K128" s="151"/>
      <c r="L128" s="99"/>
    </row>
    <row r="129" spans="1:12" s="111" customFormat="1" ht="18.75" hidden="1">
      <c r="A129" s="109" t="s">
        <v>83</v>
      </c>
      <c r="B129" s="158"/>
      <c r="C129" s="106"/>
      <c r="D129" s="107"/>
      <c r="E129" s="110">
        <f>D129/D108*100</f>
        <v>0</v>
      </c>
      <c r="F129" s="97" t="e">
        <f t="shared" si="17"/>
        <v>#DIV/0!</v>
      </c>
      <c r="G129" s="97" t="e">
        <f t="shared" si="14"/>
        <v>#DIV/0!</v>
      </c>
      <c r="H129" s="98">
        <f t="shared" si="18"/>
        <v>0</v>
      </c>
      <c r="I129" s="98">
        <f t="shared" si="16"/>
        <v>0</v>
      </c>
      <c r="K129" s="151"/>
      <c r="L129" s="99"/>
    </row>
    <row r="130" spans="1:12" s="111" customFormat="1" ht="37.5">
      <c r="A130" s="105" t="s">
        <v>57</v>
      </c>
      <c r="B130" s="160">
        <v>356.3</v>
      </c>
      <c r="C130" s="106">
        <v>942</v>
      </c>
      <c r="D130" s="107">
        <f>7+4.2+0.1+12.3+0.2+7.1+17.8+14.9+1.7+0.1+7.4+7+2.7+3.7+7.1+5.3+31.3+16.4+2.5+1.7+26.7+0.1+13.8+0.1+2.9+6.5+0.6+7+4.8+0.1+17.3+0.5+7.6+29.1</f>
        <v>267.6</v>
      </c>
      <c r="E130" s="110">
        <f>D130/D107*100</f>
        <v>0.13901659783370998</v>
      </c>
      <c r="F130" s="97">
        <f t="shared" si="17"/>
        <v>75.10524838619142</v>
      </c>
      <c r="G130" s="97">
        <f t="shared" si="14"/>
        <v>28.407643312101914</v>
      </c>
      <c r="H130" s="98">
        <f t="shared" si="18"/>
        <v>88.69999999999999</v>
      </c>
      <c r="I130" s="98">
        <f t="shared" si="16"/>
        <v>674.4</v>
      </c>
      <c r="K130" s="151"/>
      <c r="L130" s="99"/>
    </row>
    <row r="131" spans="1:12" s="112" customFormat="1" ht="18.75">
      <c r="A131" s="100" t="s">
        <v>88</v>
      </c>
      <c r="B131" s="101">
        <v>100.6</v>
      </c>
      <c r="C131" s="102">
        <v>510.8</v>
      </c>
      <c r="D131" s="103">
        <f>7+7.1+7+7.1+7+7</f>
        <v>42.2</v>
      </c>
      <c r="E131" s="104">
        <f>D131/D130*100</f>
        <v>15.76980568011958</v>
      </c>
      <c r="F131" s="104">
        <f>D131/B131*100</f>
        <v>41.94831013916501</v>
      </c>
      <c r="G131" s="104">
        <f t="shared" si="14"/>
        <v>8.261550509005481</v>
      </c>
      <c r="H131" s="102">
        <f t="shared" si="18"/>
        <v>58.39999999999999</v>
      </c>
      <c r="I131" s="102">
        <f t="shared" si="16"/>
        <v>468.6</v>
      </c>
      <c r="K131" s="151"/>
      <c r="L131" s="99"/>
    </row>
    <row r="132" spans="1:12" s="111" customFormat="1" ht="37.5">
      <c r="A132" s="105" t="s">
        <v>103</v>
      </c>
      <c r="B132" s="160">
        <v>260</v>
      </c>
      <c r="C132" s="106">
        <v>485</v>
      </c>
      <c r="D132" s="107"/>
      <c r="E132" s="110">
        <f>D132/D107*100</f>
        <v>0</v>
      </c>
      <c r="F132" s="108">
        <f t="shared" si="17"/>
        <v>0</v>
      </c>
      <c r="G132" s="97">
        <f t="shared" si="14"/>
        <v>0</v>
      </c>
      <c r="H132" s="98">
        <f t="shared" si="18"/>
        <v>260</v>
      </c>
      <c r="I132" s="98">
        <f t="shared" si="16"/>
        <v>485</v>
      </c>
      <c r="K132" s="151"/>
      <c r="L132" s="99"/>
    </row>
    <row r="133" spans="1:12" s="112" customFormat="1" ht="18.75" hidden="1">
      <c r="A133" s="109" t="s">
        <v>43</v>
      </c>
      <c r="B133" s="157"/>
      <c r="C133" s="102"/>
      <c r="D133" s="103"/>
      <c r="E133" s="104"/>
      <c r="F133" s="104" t="e">
        <f>D133/B133*100</f>
        <v>#DIV/0!</v>
      </c>
      <c r="G133" s="104" t="e">
        <f t="shared" si="14"/>
        <v>#DIV/0!</v>
      </c>
      <c r="H133" s="102">
        <f t="shared" si="18"/>
        <v>0</v>
      </c>
      <c r="I133" s="102">
        <f t="shared" si="16"/>
        <v>0</v>
      </c>
      <c r="K133" s="151"/>
      <c r="L133" s="99"/>
    </row>
    <row r="134" spans="1:12" s="111" customFormat="1" ht="35.25" customHeight="1" hidden="1">
      <c r="A134" s="105" t="s">
        <v>102</v>
      </c>
      <c r="B134" s="158"/>
      <c r="C134" s="106"/>
      <c r="D134" s="107"/>
      <c r="E134" s="110">
        <f>D134/D107*100</f>
        <v>0</v>
      </c>
      <c r="F134" s="97" t="e">
        <f t="shared" si="17"/>
        <v>#DIV/0!</v>
      </c>
      <c r="G134" s="97" t="e">
        <f t="shared" si="14"/>
        <v>#DIV/0!</v>
      </c>
      <c r="H134" s="98">
        <f t="shared" si="18"/>
        <v>0</v>
      </c>
      <c r="I134" s="98">
        <f>C134-D134</f>
        <v>0</v>
      </c>
      <c r="K134" s="151"/>
      <c r="L134" s="99"/>
    </row>
    <row r="135" spans="1:12" s="111" customFormat="1" ht="21.75" customHeight="1" hidden="1">
      <c r="A135" s="105" t="s">
        <v>101</v>
      </c>
      <c r="B135" s="158"/>
      <c r="C135" s="106"/>
      <c r="D135" s="107"/>
      <c r="E135" s="110">
        <f>D135/D107*100</f>
        <v>0</v>
      </c>
      <c r="F135" s="97" t="e">
        <f t="shared" si="17"/>
        <v>#DIV/0!</v>
      </c>
      <c r="G135" s="97" t="e">
        <f t="shared" si="14"/>
        <v>#DIV/0!</v>
      </c>
      <c r="H135" s="98">
        <f t="shared" si="18"/>
        <v>0</v>
      </c>
      <c r="I135" s="98">
        <f t="shared" si="16"/>
        <v>0</v>
      </c>
      <c r="K135" s="151"/>
      <c r="L135" s="99"/>
    </row>
    <row r="136" spans="1:12" s="111" customFormat="1" ht="35.25" customHeight="1">
      <c r="A136" s="105" t="s">
        <v>87</v>
      </c>
      <c r="B136" s="160">
        <v>210</v>
      </c>
      <c r="C136" s="106">
        <v>383.2</v>
      </c>
      <c r="D136" s="107">
        <f>2.9+1.5+9.7+8.2+0.2-0.4+16+13.6</f>
        <v>51.699999999999996</v>
      </c>
      <c r="E136" s="110">
        <f>D136/D107*100</f>
        <v>0.026857840463388658</v>
      </c>
      <c r="F136" s="97">
        <f t="shared" si="17"/>
        <v>24.619047619047617</v>
      </c>
      <c r="G136" s="97">
        <f t="shared" si="14"/>
        <v>13.491649269311065</v>
      </c>
      <c r="H136" s="98">
        <f t="shared" si="18"/>
        <v>158.3</v>
      </c>
      <c r="I136" s="98">
        <f t="shared" si="16"/>
        <v>331.5</v>
      </c>
      <c r="K136" s="151"/>
      <c r="L136" s="99"/>
    </row>
    <row r="137" spans="1:12" s="111" customFormat="1" ht="39" customHeight="1">
      <c r="A137" s="105" t="s">
        <v>54</v>
      </c>
      <c r="B137" s="160">
        <v>160</v>
      </c>
      <c r="C137" s="106">
        <v>350</v>
      </c>
      <c r="D137" s="107">
        <f>3.7+1.9+30+0.6</f>
        <v>36.2</v>
      </c>
      <c r="E137" s="110">
        <f>D137/D107*100</f>
        <v>0.01880568326450038</v>
      </c>
      <c r="F137" s="97">
        <f t="shared" si="17"/>
        <v>22.625</v>
      </c>
      <c r="G137" s="97">
        <f t="shared" si="14"/>
        <v>10.342857142857143</v>
      </c>
      <c r="H137" s="98">
        <f t="shared" si="18"/>
        <v>123.8</v>
      </c>
      <c r="I137" s="98">
        <f t="shared" si="16"/>
        <v>313.8</v>
      </c>
      <c r="K137" s="151"/>
      <c r="L137" s="99"/>
    </row>
    <row r="138" spans="1:12" s="112" customFormat="1" ht="18.75">
      <c r="A138" s="100" t="s">
        <v>88</v>
      </c>
      <c r="B138" s="101">
        <v>50</v>
      </c>
      <c r="C138" s="102">
        <v>110</v>
      </c>
      <c r="D138" s="103">
        <f>3.7+1.9</f>
        <v>5.6</v>
      </c>
      <c r="E138" s="104"/>
      <c r="F138" s="97">
        <f>D138/B138*100</f>
        <v>11.2</v>
      </c>
      <c r="G138" s="104">
        <f>D138/C138*100</f>
        <v>5.09090909090909</v>
      </c>
      <c r="H138" s="102">
        <f>B138-D138</f>
        <v>44.4</v>
      </c>
      <c r="I138" s="102">
        <f>C138-D138</f>
        <v>104.4</v>
      </c>
      <c r="K138" s="151"/>
      <c r="L138" s="99"/>
    </row>
    <row r="139" spans="1:12" s="111" customFormat="1" ht="32.25" customHeight="1">
      <c r="A139" s="105" t="s">
        <v>84</v>
      </c>
      <c r="B139" s="160">
        <v>382.9</v>
      </c>
      <c r="C139" s="106">
        <v>607.7</v>
      </c>
      <c r="D139" s="107">
        <f>76+0.3+41+44+1.8+16.3+2.4+30+0.6+0.2+27.4+0.2+4.5-0.2+31.4+4.5+7.9</f>
        <v>288.3</v>
      </c>
      <c r="E139" s="110">
        <f>D139/D107*100</f>
        <v>0.14977012389932207</v>
      </c>
      <c r="F139" s="97">
        <f>D139/B139*100</f>
        <v>75.29381039435886</v>
      </c>
      <c r="G139" s="97">
        <f>D139/C139*100</f>
        <v>47.44117163073885</v>
      </c>
      <c r="H139" s="98">
        <f t="shared" si="18"/>
        <v>94.59999999999997</v>
      </c>
      <c r="I139" s="98">
        <f t="shared" si="16"/>
        <v>319.40000000000003</v>
      </c>
      <c r="K139" s="151"/>
      <c r="L139" s="99"/>
    </row>
    <row r="140" spans="1:12" s="112" customFormat="1" ht="18.75">
      <c r="A140" s="100" t="s">
        <v>25</v>
      </c>
      <c r="B140" s="101">
        <v>311.6</v>
      </c>
      <c r="C140" s="102">
        <v>489.6</v>
      </c>
      <c r="D140" s="103">
        <f>76+37.6+44+1.2+0.7+30+27.4+30.6+0.6</f>
        <v>248.09999999999997</v>
      </c>
      <c r="E140" s="104">
        <f>D140/D139*100</f>
        <v>86.05619146722164</v>
      </c>
      <c r="F140" s="104">
        <f t="shared" si="17"/>
        <v>79.62130937098843</v>
      </c>
      <c r="G140" s="104">
        <f>D140/C140*100</f>
        <v>50.67401960784312</v>
      </c>
      <c r="H140" s="102">
        <f t="shared" si="18"/>
        <v>63.50000000000006</v>
      </c>
      <c r="I140" s="102">
        <f t="shared" si="16"/>
        <v>241.50000000000006</v>
      </c>
      <c r="K140" s="151"/>
      <c r="L140" s="99"/>
    </row>
    <row r="141" spans="1:12" s="111" customFormat="1" ht="18.75">
      <c r="A141" s="105" t="s">
        <v>96</v>
      </c>
      <c r="B141" s="160">
        <v>1062.38107</v>
      </c>
      <c r="C141" s="106">
        <v>1760</v>
      </c>
      <c r="D141" s="107">
        <f>107.3+0.4+30.4+78.2+4.1+36.9+117.9+50.5+112.6+5.2+52.3+10.5+76.8-0.2+10.4+82.9+84</f>
        <v>860.1999999999999</v>
      </c>
      <c r="E141" s="110">
        <f>D141/D107*100</f>
        <v>0.4468687498376581</v>
      </c>
      <c r="F141" s="97">
        <f t="shared" si="17"/>
        <v>80.96906320064608</v>
      </c>
      <c r="G141" s="97">
        <f t="shared" si="14"/>
        <v>48.87499999999999</v>
      </c>
      <c r="H141" s="98">
        <f t="shared" si="18"/>
        <v>202.18106999999998</v>
      </c>
      <c r="I141" s="98">
        <f t="shared" si="16"/>
        <v>899.8000000000001</v>
      </c>
      <c r="K141" s="151"/>
      <c r="L141" s="99"/>
    </row>
    <row r="142" spans="1:14" s="112" customFormat="1" ht="18.75">
      <c r="A142" s="109" t="s">
        <v>43</v>
      </c>
      <c r="B142" s="101">
        <v>854.34915</v>
      </c>
      <c r="C142" s="102">
        <v>1437.4</v>
      </c>
      <c r="D142" s="103">
        <f>107.3+25.4+76+34+76.6+47.2+83.8+4.5+35.4+76.8-0.2+60.7+81</f>
        <v>708.4999999999999</v>
      </c>
      <c r="E142" s="104">
        <f>D142/D141*100</f>
        <v>82.36456637991164</v>
      </c>
      <c r="F142" s="104">
        <f aca="true" t="shared" si="19" ref="F142:F151">D142/B142*100</f>
        <v>82.92862467294547</v>
      </c>
      <c r="G142" s="104">
        <f t="shared" si="14"/>
        <v>49.29038541811603</v>
      </c>
      <c r="H142" s="102">
        <f t="shared" si="18"/>
        <v>145.84915000000012</v>
      </c>
      <c r="I142" s="102">
        <f t="shared" si="16"/>
        <v>728.9000000000002</v>
      </c>
      <c r="J142" s="176"/>
      <c r="K142" s="177"/>
      <c r="L142" s="178"/>
      <c r="M142" s="176"/>
      <c r="N142" s="176"/>
    </row>
    <row r="143" spans="1:14" s="112" customFormat="1" ht="18.75">
      <c r="A143" s="100" t="s">
        <v>25</v>
      </c>
      <c r="B143" s="101">
        <v>27.685</v>
      </c>
      <c r="C143" s="102">
        <v>40</v>
      </c>
      <c r="D143" s="103">
        <f>0.4+4.9+0.7+4.7+3.3+0.4+0.7+0.6+0.1</f>
        <v>15.799999999999999</v>
      </c>
      <c r="E143" s="104">
        <f>D143/D141*100</f>
        <v>1.8367821436875147</v>
      </c>
      <c r="F143" s="104">
        <f t="shared" si="19"/>
        <v>57.07061585696225</v>
      </c>
      <c r="G143" s="104">
        <f>D143/C143*100</f>
        <v>39.49999999999999</v>
      </c>
      <c r="H143" s="102">
        <f t="shared" si="18"/>
        <v>11.885</v>
      </c>
      <c r="I143" s="102">
        <f t="shared" si="16"/>
        <v>24.200000000000003</v>
      </c>
      <c r="J143" s="176"/>
      <c r="K143" s="177"/>
      <c r="L143" s="178"/>
      <c r="M143" s="179"/>
      <c r="N143" s="176"/>
    </row>
    <row r="144" spans="1:14" s="111" customFormat="1" ht="33.75" customHeight="1">
      <c r="A144" s="115" t="s">
        <v>56</v>
      </c>
      <c r="B144" s="160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0.2776695498584379</v>
      </c>
      <c r="F144" s="97">
        <f t="shared" si="19"/>
        <v>85.58847077662129</v>
      </c>
      <c r="G144" s="97">
        <f t="shared" si="14"/>
        <v>85.58847077662129</v>
      </c>
      <c r="H144" s="98">
        <f t="shared" si="18"/>
        <v>90</v>
      </c>
      <c r="I144" s="98">
        <f t="shared" si="16"/>
        <v>90</v>
      </c>
      <c r="J144" s="180"/>
      <c r="K144" s="177"/>
      <c r="L144" s="178"/>
      <c r="M144" s="180"/>
      <c r="N144" s="180"/>
    </row>
    <row r="145" spans="1:14" s="111" customFormat="1" ht="18.75" hidden="1">
      <c r="A145" s="115" t="s">
        <v>92</v>
      </c>
      <c r="B145" s="158"/>
      <c r="C145" s="106"/>
      <c r="D145" s="107"/>
      <c r="E145" s="110">
        <f>D145/D107*100</f>
        <v>0</v>
      </c>
      <c r="F145" s="97" t="e">
        <f>D145/B145*100</f>
        <v>#DIV/0!</v>
      </c>
      <c r="G145" s="97" t="e">
        <f t="shared" si="14"/>
        <v>#DIV/0!</v>
      </c>
      <c r="H145" s="98">
        <f t="shared" si="18"/>
        <v>0</v>
      </c>
      <c r="I145" s="98">
        <f t="shared" si="16"/>
        <v>0</v>
      </c>
      <c r="J145" s="180"/>
      <c r="K145" s="177"/>
      <c r="L145" s="178"/>
      <c r="M145" s="180"/>
      <c r="N145" s="180"/>
    </row>
    <row r="146" spans="1:14" s="111" customFormat="1" ht="18.75">
      <c r="A146" s="115" t="s">
        <v>97</v>
      </c>
      <c r="B146" s="160">
        <v>31884.3</v>
      </c>
      <c r="C146" s="106">
        <f>56447.1-100+1500-3000+10865.4+0.1</f>
        <v>65712.6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</f>
        <v>25500.8</v>
      </c>
      <c r="E146" s="110">
        <f>D146/D107*100</f>
        <v>13.247512922413568</v>
      </c>
      <c r="F146" s="97">
        <f t="shared" si="19"/>
        <v>79.97917470353748</v>
      </c>
      <c r="G146" s="97">
        <f t="shared" si="14"/>
        <v>38.806560690035084</v>
      </c>
      <c r="H146" s="98">
        <f t="shared" si="18"/>
        <v>6383.5</v>
      </c>
      <c r="I146" s="98">
        <f t="shared" si="16"/>
        <v>40211.8</v>
      </c>
      <c r="J146" s="180"/>
      <c r="K146" s="177"/>
      <c r="L146" s="178"/>
      <c r="M146" s="180"/>
      <c r="N146" s="180"/>
    </row>
    <row r="147" spans="1:14" s="111" customFormat="1" ht="18.75" hidden="1">
      <c r="A147" s="115" t="s">
        <v>86</v>
      </c>
      <c r="B147" s="158"/>
      <c r="C147" s="106"/>
      <c r="D147" s="107"/>
      <c r="E147" s="110">
        <f>D147/D107*100</f>
        <v>0</v>
      </c>
      <c r="F147" s="97" t="e">
        <f t="shared" si="19"/>
        <v>#DIV/0!</v>
      </c>
      <c r="G147" s="97" t="e">
        <f t="shared" si="14"/>
        <v>#DIV/0!</v>
      </c>
      <c r="H147" s="98">
        <f t="shared" si="18"/>
        <v>0</v>
      </c>
      <c r="I147" s="98">
        <f t="shared" si="16"/>
        <v>0</v>
      </c>
      <c r="J147" s="180"/>
      <c r="K147" s="177"/>
      <c r="L147" s="178"/>
      <c r="M147" s="180"/>
      <c r="N147" s="180"/>
    </row>
    <row r="148" spans="1:14" s="111" customFormat="1" ht="37.5" hidden="1">
      <c r="A148" s="115" t="s">
        <v>104</v>
      </c>
      <c r="B148" s="158"/>
      <c r="C148" s="106"/>
      <c r="D148" s="107"/>
      <c r="E148" s="110">
        <f>D148/D109*100</f>
        <v>0</v>
      </c>
      <c r="F148" s="97" t="e">
        <f>D148/B148*100</f>
        <v>#DIV/0!</v>
      </c>
      <c r="G148" s="97" t="e">
        <f>D148/C148*100</f>
        <v>#DIV/0!</v>
      </c>
      <c r="H148" s="98">
        <f>B148-D148</f>
        <v>0</v>
      </c>
      <c r="I148" s="98">
        <f>C148-D148</f>
        <v>0</v>
      </c>
      <c r="J148" s="180"/>
      <c r="K148" s="177"/>
      <c r="L148" s="178"/>
      <c r="M148" s="180"/>
      <c r="N148" s="180"/>
    </row>
    <row r="149" spans="1:14" s="111" customFormat="1" ht="18.75">
      <c r="A149" s="105" t="s">
        <v>98</v>
      </c>
      <c r="B149" s="160">
        <v>89.4</v>
      </c>
      <c r="C149" s="106">
        <v>162.3</v>
      </c>
      <c r="D149" s="107">
        <f>46.4+43</f>
        <v>89.4</v>
      </c>
      <c r="E149" s="110">
        <f>D149/D107*100</f>
        <v>0.046442764747136295</v>
      </c>
      <c r="F149" s="97">
        <f t="shared" si="19"/>
        <v>100</v>
      </c>
      <c r="G149" s="97">
        <f t="shared" si="14"/>
        <v>55.08317929759704</v>
      </c>
      <c r="H149" s="98">
        <f t="shared" si="18"/>
        <v>0</v>
      </c>
      <c r="I149" s="98">
        <f t="shared" si="16"/>
        <v>72.9</v>
      </c>
      <c r="J149" s="180"/>
      <c r="K149" s="177"/>
      <c r="L149" s="178"/>
      <c r="M149" s="180"/>
      <c r="N149" s="180"/>
    </row>
    <row r="150" spans="1:14" s="111" customFormat="1" ht="18" customHeight="1">
      <c r="A150" s="105" t="s">
        <v>77</v>
      </c>
      <c r="B150" s="160">
        <v>7160.2</v>
      </c>
      <c r="C150" s="106">
        <f>10563.8+657.7</f>
        <v>11221.5</v>
      </c>
      <c r="D150" s="107">
        <f>791.9+575.3+777.6+830.9+722.1+47.7+657.7+821-47.6+744.9</f>
        <v>5921.499999999999</v>
      </c>
      <c r="E150" s="110">
        <f>D150/D107*100</f>
        <v>3.076183796981739</v>
      </c>
      <c r="F150" s="97">
        <f t="shared" si="19"/>
        <v>82.70020390491885</v>
      </c>
      <c r="G150" s="97">
        <f t="shared" si="14"/>
        <v>52.76923762420353</v>
      </c>
      <c r="H150" s="98">
        <f t="shared" si="18"/>
        <v>1238.7000000000007</v>
      </c>
      <c r="I150" s="98">
        <f t="shared" si="16"/>
        <v>5300.000000000001</v>
      </c>
      <c r="J150" s="180"/>
      <c r="K150" s="177"/>
      <c r="L150" s="178"/>
      <c r="M150" s="180"/>
      <c r="N150" s="180"/>
    </row>
    <row r="151" spans="1:14" s="111" customFormat="1" ht="19.5" customHeight="1">
      <c r="A151" s="145" t="s">
        <v>50</v>
      </c>
      <c r="B151" s="162">
        <v>197837.9</v>
      </c>
      <c r="C151" s="146">
        <f>350771.5+40351.1-7680.5+12-588.3</f>
        <v>382865.8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</f>
        <v>108046.1</v>
      </c>
      <c r="E151" s="148">
        <f>D151/D107*100</f>
        <v>56.12930205979376</v>
      </c>
      <c r="F151" s="149">
        <f t="shared" si="19"/>
        <v>54.61344868703115</v>
      </c>
      <c r="G151" s="149">
        <f t="shared" si="14"/>
        <v>28.22035815160299</v>
      </c>
      <c r="H151" s="150">
        <f t="shared" si="18"/>
        <v>89791.79999999999</v>
      </c>
      <c r="I151" s="150">
        <f>C151-D151</f>
        <v>274819.69999999995</v>
      </c>
      <c r="J151" s="180"/>
      <c r="K151" s="177"/>
      <c r="L151" s="178"/>
      <c r="M151" s="180"/>
      <c r="N151" s="180"/>
    </row>
    <row r="152" spans="1:14" s="111" customFormat="1" ht="18.75">
      <c r="A152" s="105" t="s">
        <v>99</v>
      </c>
      <c r="B152" s="160">
        <v>24635.5</v>
      </c>
      <c r="C152" s="106">
        <v>42232</v>
      </c>
      <c r="D152" s="107">
        <f>819+819+819.1+1062.3+1173.1+1173.1+1173.2+1173.1+1173.1+1173.2+1173.1+1173.1+1173.2+1173.1+1173.1+1173.1+1173.1+1173.1+1173.1</f>
        <v>21116.199999999997</v>
      </c>
      <c r="E152" s="110">
        <f>D152/D107*100</f>
        <v>10.969739473752565</v>
      </c>
      <c r="F152" s="97">
        <f t="shared" si="17"/>
        <v>85.7145176675935</v>
      </c>
      <c r="G152" s="97">
        <f t="shared" si="14"/>
        <v>50.00047357454063</v>
      </c>
      <c r="H152" s="98">
        <f t="shared" si="18"/>
        <v>3519.300000000003</v>
      </c>
      <c r="I152" s="98">
        <f t="shared" si="16"/>
        <v>21115.800000000003</v>
      </c>
      <c r="J152" s="180"/>
      <c r="K152" s="177"/>
      <c r="L152" s="178"/>
      <c r="M152" s="180"/>
      <c r="N152" s="180"/>
    </row>
    <row r="153" spans="1:14" s="2" customFormat="1" ht="19.5" thickBot="1">
      <c r="A153" s="29" t="s">
        <v>29</v>
      </c>
      <c r="B153" s="161"/>
      <c r="C153" s="62"/>
      <c r="D153" s="43">
        <f>D43+D69+D72+D77+D79+D87+D102+D107+D100+D84+D98</f>
        <v>200215.9</v>
      </c>
      <c r="E153" s="15"/>
      <c r="F153" s="15"/>
      <c r="G153" s="6"/>
      <c r="H153" s="51"/>
      <c r="I153" s="43"/>
      <c r="J153" s="180"/>
      <c r="K153" s="177"/>
      <c r="L153" s="181"/>
      <c r="M153" s="180"/>
      <c r="N153" s="180"/>
    </row>
    <row r="154" spans="1:14" ht="19.5" thickBot="1">
      <c r="A154" s="12" t="s">
        <v>18</v>
      </c>
      <c r="B154" s="39">
        <f>B6+B18+B33+B43+B51+B59+B69+B72+B77+B79+B87+B90+B95+B102+B107+B100+B84+B98+B45</f>
        <v>1281920.8090899999</v>
      </c>
      <c r="C154" s="39">
        <f>C6+C18+C33+C43+C51+C59+C69+C72+C77+C79+C87+C90+C95+C102+C107+C100+C84+C98+C45</f>
        <v>2166335.3999999994</v>
      </c>
      <c r="D154" s="39">
        <f>D6+D18+D33+D43+D51+D59+D69+D72+D77+D79+D87+D90+D95+D102+D107+D100+D84+D98+D45</f>
        <v>1014110.3</v>
      </c>
      <c r="E154" s="28">
        <v>100</v>
      </c>
      <c r="F154" s="3">
        <f>D154/B154*100</f>
        <v>79.10865420149385</v>
      </c>
      <c r="G154" s="3">
        <f aca="true" t="shared" si="20" ref="G154:G160">D154/C154*100</f>
        <v>46.81224800185605</v>
      </c>
      <c r="H154" s="39">
        <f aca="true" t="shared" si="21" ref="H154:H160">B154-D154</f>
        <v>267810.50908999983</v>
      </c>
      <c r="I154" s="39">
        <f aca="true" t="shared" si="22" ref="I154:I160">C154-D154</f>
        <v>1152225.0999999994</v>
      </c>
      <c r="J154" s="164"/>
      <c r="K154" s="182"/>
      <c r="L154" s="183"/>
      <c r="M154" s="164"/>
      <c r="N154" s="164"/>
    </row>
    <row r="155" spans="1:14" ht="18.75">
      <c r="A155" s="16" t="s">
        <v>5</v>
      </c>
      <c r="B155" s="50">
        <f>B8+B20+B34+B52+B60+B91+B115+B120+B46+B142+B133+B103</f>
        <v>564112.6669500001</v>
      </c>
      <c r="C155" s="50">
        <f>C8+C20+C34+C52+C60+C91+C115+C120+C46+C142+C133+C103</f>
        <v>896180.8</v>
      </c>
      <c r="D155" s="50">
        <f>D8+D20+D34+D52+D60+D91+D115+D120+D46+D142+D133+D103</f>
        <v>494867.6100000001</v>
      </c>
      <c r="E155" s="6">
        <f>D155/D154*100</f>
        <v>48.7982037062438</v>
      </c>
      <c r="F155" s="6">
        <f aca="true" t="shared" si="23" ref="F155:F160">D155/B155*100</f>
        <v>87.72495974529544</v>
      </c>
      <c r="G155" s="6">
        <f t="shared" si="20"/>
        <v>55.21961751468009</v>
      </c>
      <c r="H155" s="51">
        <f t="shared" si="21"/>
        <v>69245.05695</v>
      </c>
      <c r="I155" s="61">
        <f t="shared" si="22"/>
        <v>401313.18999999994</v>
      </c>
      <c r="J155" s="164"/>
      <c r="K155" s="177"/>
      <c r="L155" s="183"/>
      <c r="M155" s="164"/>
      <c r="N155" s="164"/>
    </row>
    <row r="156" spans="1:14" ht="18.75">
      <c r="A156" s="16" t="s">
        <v>0</v>
      </c>
      <c r="B156" s="51">
        <f>B11+B23+B36+B55+B62+B92+B49+B143+B109+B112+B96+B140+B129</f>
        <v>65639.20064000001</v>
      </c>
      <c r="C156" s="51">
        <f>C11+C23+C36+C55+C62+C92+C49+C143+C109+C112+C96+C140+C129</f>
        <v>110563.99999999999</v>
      </c>
      <c r="D156" s="51">
        <f>D11+D23+D36+D55+D62+D92+D49+D143+D109+D112+D96+D140+D129</f>
        <v>61510.19999999999</v>
      </c>
      <c r="E156" s="6">
        <f>D156/D154*100</f>
        <v>6.065434894014979</v>
      </c>
      <c r="F156" s="6">
        <f t="shared" si="23"/>
        <v>93.70955069571058</v>
      </c>
      <c r="G156" s="6">
        <f t="shared" si="20"/>
        <v>55.63311747042437</v>
      </c>
      <c r="H156" s="51">
        <f>B156-D156</f>
        <v>4129.00064000002</v>
      </c>
      <c r="I156" s="61">
        <f t="shared" si="22"/>
        <v>49053.799999999996</v>
      </c>
      <c r="J156" s="164"/>
      <c r="K156" s="177"/>
      <c r="L156" s="184"/>
      <c r="M156" s="164"/>
      <c r="N156" s="164"/>
    </row>
    <row r="157" spans="1:14" ht="18.75">
      <c r="A157" s="16" t="s">
        <v>1</v>
      </c>
      <c r="B157" s="50">
        <f>B22+B10+B54+B48+B61+B35+B124</f>
        <v>25792.126</v>
      </c>
      <c r="C157" s="50">
        <f>C22+C10+C54+C48+C61+C35+C124</f>
        <v>45948.3</v>
      </c>
      <c r="D157" s="50">
        <f>D22+D10+D54+D48+D61+D35+D124</f>
        <v>15659.299999999996</v>
      </c>
      <c r="E157" s="6">
        <f>D157/D154*100</f>
        <v>1.5441416974070765</v>
      </c>
      <c r="F157" s="6">
        <f t="shared" si="23"/>
        <v>60.713490621129864</v>
      </c>
      <c r="G157" s="6">
        <f t="shared" si="20"/>
        <v>34.080259770219996</v>
      </c>
      <c r="H157" s="51">
        <f t="shared" si="21"/>
        <v>10132.826000000005</v>
      </c>
      <c r="I157" s="61">
        <f t="shared" si="22"/>
        <v>30289.000000000007</v>
      </c>
      <c r="J157" s="164"/>
      <c r="K157" s="177"/>
      <c r="L157" s="183"/>
      <c r="M157" s="164"/>
      <c r="N157" s="164"/>
    </row>
    <row r="158" spans="1:14" ht="21" customHeight="1">
      <c r="A158" s="16" t="s">
        <v>14</v>
      </c>
      <c r="B158" s="50">
        <f>B12+B24+B104+B63+B38+B93+B131+B56+B138+B118</f>
        <v>19359.405</v>
      </c>
      <c r="C158" s="50">
        <f>C12+C24+C104+C63+C38+C93+C131+C56+C138+C118</f>
        <v>30229.899999999998</v>
      </c>
      <c r="D158" s="50">
        <f>D12+D24+D104+D63+D38+D93+D131+D56+D138+D118</f>
        <v>13621.2</v>
      </c>
      <c r="E158" s="6">
        <f>D158/D154*100</f>
        <v>1.3431675035743154</v>
      </c>
      <c r="F158" s="6">
        <f t="shared" si="23"/>
        <v>70.35960041127298</v>
      </c>
      <c r="G158" s="6">
        <f t="shared" si="20"/>
        <v>45.058700161098784</v>
      </c>
      <c r="H158" s="51">
        <f>B158-D158</f>
        <v>5738.204999999998</v>
      </c>
      <c r="I158" s="61">
        <f t="shared" si="22"/>
        <v>16608.699999999997</v>
      </c>
      <c r="J158" s="164"/>
      <c r="K158" s="177"/>
      <c r="L158" s="184"/>
      <c r="M158" s="164"/>
      <c r="N158" s="164"/>
    </row>
    <row r="159" spans="1:14" ht="18.75">
      <c r="A159" s="16" t="s">
        <v>2</v>
      </c>
      <c r="B159" s="50">
        <f>B9+B21+B47+B53+B123</f>
        <v>31.558</v>
      </c>
      <c r="C159" s="50">
        <f>C9+C21+C47+C53+C123</f>
        <v>113.10000000000001</v>
      </c>
      <c r="D159" s="50">
        <f>D9+D21+D47+D53+D123</f>
        <v>21.3</v>
      </c>
      <c r="E159" s="6">
        <f>D159/D154*100</f>
        <v>0.0021003632445109766</v>
      </c>
      <c r="F159" s="6">
        <f t="shared" si="23"/>
        <v>67.49477153178275</v>
      </c>
      <c r="G159" s="6">
        <f t="shared" si="20"/>
        <v>18.83289124668435</v>
      </c>
      <c r="H159" s="51">
        <f t="shared" si="21"/>
        <v>10.258</v>
      </c>
      <c r="I159" s="61">
        <f t="shared" si="22"/>
        <v>91.80000000000001</v>
      </c>
      <c r="J159" s="164"/>
      <c r="K159" s="177"/>
      <c r="L159" s="183"/>
      <c r="M159" s="164"/>
      <c r="N159" s="164"/>
    </row>
    <row r="160" spans="1:14" ht="19.5" thickBot="1">
      <c r="A160" s="86" t="s">
        <v>27</v>
      </c>
      <c r="B160" s="63">
        <f>B154-B155-B156-B157-B158-B159</f>
        <v>606985.8524999997</v>
      </c>
      <c r="C160" s="63">
        <f>C154-C155-C156-C157-C158-C159</f>
        <v>1083299.2999999993</v>
      </c>
      <c r="D160" s="63">
        <f>D154-D155-D156-D157-D158-D159</f>
        <v>428430.68999999994</v>
      </c>
      <c r="E160" s="31">
        <f>D160/D154*100</f>
        <v>42.246951835515326</v>
      </c>
      <c r="F160" s="31">
        <f t="shared" si="23"/>
        <v>70.58330737617977</v>
      </c>
      <c r="G160" s="31">
        <f t="shared" si="20"/>
        <v>39.548690745023116</v>
      </c>
      <c r="H160" s="87">
        <f t="shared" si="21"/>
        <v>178555.16249999974</v>
      </c>
      <c r="I160" s="87">
        <f t="shared" si="22"/>
        <v>654868.6099999994</v>
      </c>
      <c r="J160" s="164"/>
      <c r="K160" s="177"/>
      <c r="L160" s="184"/>
      <c r="M160" s="164"/>
      <c r="N160" s="164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3"/>
    </row>
    <row r="163" spans="7:11" ht="12.75">
      <c r="G163" s="18"/>
      <c r="H163" s="18"/>
      <c r="K163" s="93"/>
    </row>
    <row r="164" spans="7:11" ht="12.75">
      <c r="G164" s="18"/>
      <c r="H164" s="18"/>
      <c r="K164" s="93"/>
    </row>
    <row r="165" spans="4:8" ht="12.75">
      <c r="D165" s="151"/>
      <c r="G165" s="18"/>
      <c r="H165" s="18"/>
    </row>
    <row r="166" spans="2:8" ht="12.75">
      <c r="B166" s="154"/>
      <c r="C166" s="155"/>
      <c r="G166" s="18"/>
      <c r="H166" s="18"/>
    </row>
    <row r="167" spans="2:8" ht="12.75">
      <c r="B167" s="90"/>
      <c r="C167" s="90"/>
      <c r="D167" s="90"/>
      <c r="G167" s="18"/>
      <c r="H167" s="18"/>
    </row>
    <row r="168" spans="2:8" ht="12.75">
      <c r="B168" s="90"/>
      <c r="G168" s="18"/>
      <c r="H168" s="18"/>
    </row>
    <row r="169" spans="2:8" ht="12.75">
      <c r="B169" s="90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1014110.3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1014110.3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2018-06-23T09:07:26Z</cp:lastPrinted>
  <dcterms:created xsi:type="dcterms:W3CDTF">2000-06-20T04:48:00Z</dcterms:created>
  <dcterms:modified xsi:type="dcterms:W3CDTF">2018-07-05T11:23:14Z</dcterms:modified>
  <cp:category/>
  <cp:version/>
  <cp:contentType/>
  <cp:contentStatus/>
</cp:coreProperties>
</file>